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emf" ContentType="image/x-emf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1845" windowWidth="5805" windowHeight="4395" tabRatio="562"/>
  </bookViews>
  <sheets>
    <sheet name="ТСУ (иномарки)" sheetId="3" r:id="rId1"/>
    <sheet name="ТСУ (иномарки) для заказа" sheetId="8" r:id="rId2"/>
    <sheet name="ТСУ (Россия)" sheetId="1" r:id="rId3"/>
    <sheet name="ТСУ (Россия) для заказа" sheetId="10" r:id="rId4"/>
    <sheet name="Лист1" sheetId="12" r:id="rId5"/>
    <sheet name="ТСУ и аксессуары (Импорт)" sheetId="5" r:id="rId6"/>
    <sheet name="Багажники" sheetId="4" r:id="rId7"/>
  </sheets>
  <definedNames>
    <definedName name="_xlnm._FilterDatabase" localSheetId="0" hidden="1">'ТСУ (иномарки)'!$A$5:$HT$525</definedName>
    <definedName name="_xlnm._FilterDatabase" localSheetId="2" hidden="1">'ТСУ (Россия)'!$A$5:$AY$59</definedName>
    <definedName name="Z_142A9445_A292_11D9_8E7C_009027AEEA37_.wvu.FilterData" localSheetId="0" hidden="1">'ТСУ (иномарки)'!$B$6:$M$533</definedName>
    <definedName name="Z_1C9EE395_06A1_41D5_9B75_3DA9A451808D_.wvu.FilterData" localSheetId="0" hidden="1">'ТСУ (иномарки)'!$B$6:$M$533</definedName>
    <definedName name="Z_1C9EE395_06A1_41D5_9B75_3DA9A451808D_.wvu.FilterData" localSheetId="2" hidden="1">'ТСУ (Россия)'!$B$4:$L$67</definedName>
    <definedName name="Z_1C9EE395_06A1_41D5_9B75_3DA9A451808D_.wvu.PrintArea" localSheetId="0" hidden="1">'ТСУ (иномарки)'!$B$2:$M$548</definedName>
    <definedName name="Z_1C9EE395_06A1_41D5_9B75_3DA9A451808D_.wvu.PrintArea" localSheetId="2" hidden="1">'ТСУ (Россия)'!$B$2:$E$113</definedName>
    <definedName name="Z_1CA30FA5_7361_11D8_8E7B_009027AEEA37_.wvu.Cols" localSheetId="0" hidden="1">'ТСУ (иномарки)'!#REF!</definedName>
    <definedName name="Z_1CA30FA5_7361_11D8_8E7B_009027AEEA37_.wvu.FilterData" localSheetId="0" hidden="1">'ТСУ (иномарки)'!$B$6:$M$533</definedName>
    <definedName name="Z_1CA30FA5_7361_11D8_8E7B_009027AEEA37_.wvu.FilterData" localSheetId="2" hidden="1">'ТСУ (Россия)'!$B$4:$L$67</definedName>
    <definedName name="Z_1CA30FA5_7361_11D8_8E7B_009027AEEA37_.wvu.PrintArea" localSheetId="0" hidden="1">'ТСУ (иномарки)'!$B$2:$M$548</definedName>
    <definedName name="Z_1CA30FA5_7361_11D8_8E7B_009027AEEA37_.wvu.PrintArea" localSheetId="2" hidden="1">'ТСУ (Россия)'!$B$2:$E$108</definedName>
    <definedName name="Z_20D34181_72C1_11D8_96EF_0080481CE252_.wvu.FilterData" localSheetId="0" hidden="1">'ТСУ (иномарки)'!$B$6:$M$533</definedName>
    <definedName name="Z_20D34181_72C1_11D8_96EF_0080481CE252_.wvu.FilterData" localSheetId="2" hidden="1">'ТСУ (Россия)'!$B$4:$L$67</definedName>
    <definedName name="Z_220A40FA_5E40_4B56_945C_ECCF44F8C32E_.wvu.FilterData" localSheetId="0" hidden="1">'ТСУ (иномарки)'!$B$6:$M$533</definedName>
    <definedName name="Z_220A40FA_5E40_4B56_945C_ECCF44F8C32E_.wvu.FilterData" localSheetId="2" hidden="1">'ТСУ (Россия)'!$B$4:$L$67</definedName>
    <definedName name="Z_55A15CA5_C908_11D9_BCFF_00E04C0A8254_.wvu.FilterData" localSheetId="0" hidden="1">'ТСУ (иномарки)'!$B$6:$M$533</definedName>
    <definedName name="Z_55A15CA5_C908_11D9_BCFF_00E04C0A8254_.wvu.FilterData" localSheetId="2" hidden="1">'ТСУ (Россия)'!$B$4:$L$67</definedName>
    <definedName name="Z_5A8793E0_72A3_11D8_916C_00E04C7806EB_.wvu.Cols" localSheetId="0" hidden="1">'ТСУ (иномарки)'!#REF!</definedName>
    <definedName name="Z_5A8793E0_72A3_11D8_916C_00E04C7806EB_.wvu.FilterData" localSheetId="0" hidden="1">'ТСУ (иномарки)'!$B$4:$M$533</definedName>
    <definedName name="Z_5A8793E0_72A3_11D8_916C_00E04C7806EB_.wvu.FilterData" localSheetId="2" hidden="1">'ТСУ (Россия)'!$B$4:$L$67</definedName>
    <definedName name="Z_5A8793E0_72A3_11D8_916C_00E04C7806EB_.wvu.PrintArea" localSheetId="0" hidden="1">'ТСУ (иномарки)'!$B$2:$M$548</definedName>
    <definedName name="Z_5A8793E0_72A3_11D8_916C_00E04C7806EB_.wvu.Rows" localSheetId="0" hidden="1">'ТСУ (иномарки)'!#REF!,'ТСУ (иномарки)'!#REF!,'ТСУ (иномарки)'!#REF!,'ТСУ (иномарки)'!#REF!,'ТСУ (иномарки)'!#REF!,'ТСУ (иномарки)'!#REF!,'ТСУ (иномарки)'!#REF!,'ТСУ (иномарки)'!#REF!,'ТСУ (иномарки)'!#REF!,'ТСУ (иномарки)'!#REF!,'ТСУ (иномарки)'!#REF!</definedName>
    <definedName name="Z_696191A1_72A2_11D8_ADB2_0040F45FC7D7_.wvu.FilterData" localSheetId="2" hidden="1">'ТСУ (Россия)'!$B$5:$G$68</definedName>
    <definedName name="Z_720522D8_155C_4795_9DAB_BE293400F696_.wvu.FilterData" localSheetId="0" hidden="1">'ТСУ (иномарки)'!$B$6:$M$533</definedName>
    <definedName name="Z_7A4385F3_B58C_4991_AB9A_DA85C1BCDB97_.wvu.FilterData" localSheetId="0" hidden="1">'ТСУ (иномарки)'!$B$6:$M$533</definedName>
    <definedName name="Z_7A4385F3_B58C_4991_AB9A_DA85C1BCDB97_.wvu.FilterData" localSheetId="2" hidden="1">'ТСУ (Россия)'!$B$4:$L$67</definedName>
    <definedName name="Z_7A68A857_FFDB_410F_8957_3619E6F518D5_.wvu.FilterData" localSheetId="0" hidden="1">'ТСУ (иномарки)'!$B$4:$M$533</definedName>
    <definedName name="Z_9CF5AA64_6A20_4C37_A2DA_2129EBAE4A64_.wvu.FilterData" localSheetId="2" hidden="1">'ТСУ (Россия)'!$B$4:$L$67</definedName>
    <definedName name="Z_9E7D6C7B_D1D2_48A9_88F9_EE0B3178F899_.wvu.FilterData" localSheetId="0" hidden="1">'ТСУ (иномарки)'!$B$6:$M$533</definedName>
    <definedName name="Z_9E7D6C7B_D1D2_48A9_88F9_EE0B3178F899_.wvu.FilterData" localSheetId="2" hidden="1">'ТСУ (Россия)'!$B$4:$L$67</definedName>
    <definedName name="Z_9E7D6C7B_D1D2_48A9_88F9_EE0B3178F899_.wvu.PrintArea" localSheetId="0" hidden="1">'ТСУ (иномарки)'!$B$2:$M$548</definedName>
    <definedName name="Z_9E7D6C7B_D1D2_48A9_88F9_EE0B3178F899_.wvu.PrintArea" localSheetId="2" hidden="1">'ТСУ (Россия)'!$B$2:$E$104</definedName>
    <definedName name="Z_CDB9BB86_2C54_4750_AF4B_EAED570508CD_.wvu.FilterData" localSheetId="0" hidden="1">'ТСУ (иномарки)'!$B$6:$M$533</definedName>
    <definedName name="Z_CF1F6A07_4C66_41AD_8D09_CAD43D061E52_.wvu.FilterData" localSheetId="0" hidden="1">'ТСУ (иномарки)'!$B$6:$M$533</definedName>
    <definedName name="Z_CF1F6A07_4C66_41AD_8D09_CAD43D061E52_.wvu.FilterData" localSheetId="2" hidden="1">'ТСУ (Россия)'!$B$4:$L$67</definedName>
    <definedName name="Z_F8593EA0_7D9F_11D8_916C_00E04C7806EB_.wvu.Rows" localSheetId="0" hidden="1">'ТСУ (иномарки)'!#REF!,'ТСУ (иномарки)'!#REF!,'ТСУ (иномарки)'!#REF!,'ТСУ (иномарки)'!$29:$29,'ТСУ (иномарки)'!$49:$49,'ТСУ (иномарки)'!#REF!,'ТСУ (иномарки)'!#REF!,'ТСУ (иномарки)'!#REF!,'ТСУ (иномарки)'!#REF!,'ТСУ (иномарки)'!$99:$120,'ТСУ (иномарки)'!#REF!,'ТСУ (иномарки)'!$146:$147,'ТСУ (иномарки)'!$151:$155,'ТСУ (иномарки)'!#REF!,'ТСУ (иномарки)'!$198:$199,'ТСУ (иномарки)'!#REF!,'ТСУ (иномарки)'!$226:$232,'ТСУ (иномарки)'!#REF!,'ТСУ (иномарки)'!#REF!,'ТСУ (иномарки)'!#REF!,'ТСУ (иномарки)'!$301:$303,'ТСУ (иномарки)'!#REF!,'ТСУ (иномарки)'!#REF!,'ТСУ (иномарки)'!#REF!,'ТСУ (иномарки)'!#REF!,'ТСУ (иномарки)'!#REF!,'ТСУ (иномарки)'!$367:$367,'ТСУ (иномарки)'!#REF!,'ТСУ (иномарки)'!#REF!,'ТСУ (иномарки)'!#REF!,'ТСУ (иномарки)'!#REF!,'ТСУ (иномарки)'!$410:$416,'ТСУ (иномарки)'!$421:$428,'ТСУ (иномарки)'!#REF!,'ТСУ (иномарки)'!#REF!</definedName>
    <definedName name="_xlnm.Print_Area" localSheetId="0">'ТСУ (иномарки)'!$B$2:$M$546</definedName>
    <definedName name="_xlnm.Print_Area" localSheetId="2">'ТСУ (Россия)'!$B$2:$L$88</definedName>
  </definedNames>
  <calcPr calcId="124519" refMode="R1C1"/>
  <customWorkbookViews>
    <customWorkbookView name="User - Личное представление" guid="{9E7D6C7B-D1D2-48A9-88F9-EE0B3178F899}" mergeInterval="0" personalView="1" maximized="1" windowWidth="796" windowHeight="386" tabRatio="562" activeSheetId="1"/>
    <customWorkbookView name="Александр Парфенов - Личное представление" guid="{220A40FA-5E40-4B56-945C-ECCF44F8C32E}" mergeInterval="0" personalView="1" maximized="1" windowWidth="796" windowHeight="386" tabRatio="782" activeSheetId="14"/>
    <customWorkbookView name="ТЕРЕХИН - Личное представление" guid="{CF1F6A07-4C66-41AD-8D09-CAD43D061E52}" mergeInterval="0" personalView="1" maximized="1" windowWidth="1020" windowHeight="618" tabRatio="813" activeSheetId="3"/>
    <customWorkbookView name="Парфенов Александр - Личное представление" guid="{696191A1-72A2-11D8-ADB2-0040F45FC7D7}" mergeInterval="0" personalView="1" maximized="1" windowWidth="796" windowHeight="385" tabRatio="918" activeSheetId="4"/>
    <customWorkbookView name="Вадим - Личное представление" guid="{5A8793E0-72A3-11D8-916C-00E04C7806EB}" mergeInterval="0" personalView="1" maximized="1" windowWidth="796" windowHeight="385" tabRatio="918" activeSheetId="7"/>
    <customWorkbookView name="3 - Личное представление" guid="{7A4385F3-B58C-4991-AB9A-DA85C1BCDB97}" mergeInterval="0" personalView="1" maximized="1" windowWidth="796" windowHeight="386" tabRatio="761" activeSheetId="2"/>
    <customWorkbookView name="Александр - Личное представление" guid="{1C9EE395-06A1-41D5-9B75-3DA9A451808D}" mergeInterval="0" personalView="1" maximized="1" windowWidth="796" windowHeight="439" tabRatio="822" activeSheetId="15"/>
    <customWorkbookView name="Мадина - Личное представление" guid="{55A15CA5-C908-11D9-BCFF-00E04C0A8254}" mergeInterval="0" personalView="1" maximized="1" xWindow="5" yWindow="24" windowWidth="375" windowHeight="386" tabRatio="562" activeSheetId="14"/>
    <customWorkbookView name="Виталий - Личное представление" guid="{1CA30FA5-7361-11D8-8E7B-009027AEEA37}" mergeInterval="0" personalView="1" maximized="1" windowWidth="796" windowHeight="411" tabRatio="923" activeSheetId="7"/>
    <customWorkbookView name="1 - Личное представление" guid="{20D34181-72C1-11D8-96EF-0080481CE252}" mergeInterval="0" personalView="1" maximized="1" windowWidth="779" windowHeight="401" tabRatio="562" activeSheetId="15"/>
  </customWorkbookViews>
  <pivotCaches>
    <pivotCache cacheId="0" r:id="rId8"/>
    <pivotCache cacheId="1" r:id="rId9"/>
    <pivotCache cacheId="2" r:id="rId10"/>
  </pivotCaches>
</workbook>
</file>

<file path=xl/calcChain.xml><?xml version="1.0" encoding="utf-8"?>
<calcChain xmlns="http://schemas.openxmlformats.org/spreadsheetml/2006/main">
  <c r="L500" i="3"/>
  <c r="L501"/>
  <c r="L503"/>
  <c r="L506"/>
  <c r="L507"/>
  <c r="L514"/>
  <c r="L7"/>
  <c r="L8"/>
  <c r="L9"/>
  <c r="L11"/>
  <c r="L12"/>
  <c r="L13"/>
  <c r="L14"/>
  <c r="L15"/>
  <c r="L19"/>
  <c r="L20"/>
  <c r="L21"/>
  <c r="L22"/>
  <c r="L23"/>
  <c r="L24"/>
  <c r="L26"/>
  <c r="L28"/>
  <c r="L29"/>
  <c r="L31"/>
  <c r="L32"/>
  <c r="L33"/>
  <c r="L34"/>
  <c r="L35"/>
  <c r="L36"/>
  <c r="L37"/>
  <c r="L38"/>
  <c r="L39"/>
  <c r="L40"/>
  <c r="L41"/>
  <c r="L42"/>
  <c r="L43"/>
  <c r="L44"/>
  <c r="L45"/>
  <c r="L46"/>
  <c r="L47"/>
  <c r="L49"/>
  <c r="L51"/>
  <c r="L52"/>
  <c r="L53"/>
  <c r="L54"/>
  <c r="L55"/>
  <c r="L56"/>
  <c r="L57"/>
  <c r="L58"/>
  <c r="L59"/>
  <c r="L61"/>
  <c r="L63"/>
  <c r="L64"/>
  <c r="L65"/>
  <c r="L66"/>
  <c r="L67"/>
  <c r="L68"/>
  <c r="L69"/>
  <c r="L70"/>
  <c r="L71"/>
  <c r="L74"/>
  <c r="L75"/>
  <c r="L76"/>
  <c r="L79"/>
  <c r="L80"/>
  <c r="L82"/>
  <c r="L84"/>
  <c r="L88"/>
  <c r="L89"/>
  <c r="L91"/>
  <c r="L93"/>
  <c r="L94"/>
  <c r="L95"/>
  <c r="L96"/>
  <c r="L97"/>
  <c r="L98"/>
  <c r="L99"/>
  <c r="L100"/>
  <c r="L101"/>
  <c r="L102"/>
  <c r="L103"/>
  <c r="L104"/>
  <c r="L106"/>
  <c r="L107"/>
  <c r="L108"/>
  <c r="L109"/>
  <c r="L110"/>
  <c r="L111"/>
  <c r="L112"/>
  <c r="L113"/>
  <c r="L114"/>
  <c r="L115"/>
  <c r="L116"/>
  <c r="L119"/>
  <c r="L120"/>
  <c r="L121"/>
  <c r="L122"/>
  <c r="L123"/>
  <c r="L126"/>
  <c r="L128"/>
  <c r="L130"/>
  <c r="L131"/>
  <c r="L132"/>
  <c r="L133"/>
  <c r="L135"/>
  <c r="L136"/>
  <c r="L137"/>
  <c r="L138"/>
  <c r="L139"/>
  <c r="L140"/>
  <c r="L141"/>
  <c r="L143"/>
  <c r="L145"/>
  <c r="L146"/>
  <c r="L147"/>
  <c r="L148"/>
  <c r="L151"/>
  <c r="L152"/>
  <c r="L153"/>
  <c r="L154"/>
  <c r="L155"/>
  <c r="L156"/>
  <c r="L157"/>
  <c r="L158"/>
  <c r="L159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81"/>
  <c r="L182"/>
  <c r="L184"/>
  <c r="L186"/>
  <c r="L188"/>
  <c r="L189"/>
  <c r="L191"/>
  <c r="L192"/>
  <c r="L193"/>
  <c r="L194"/>
  <c r="L195"/>
  <c r="L196"/>
  <c r="L197"/>
  <c r="L198"/>
  <c r="L199"/>
  <c r="L200"/>
  <c r="L201"/>
  <c r="L202"/>
  <c r="L204"/>
  <c r="L205"/>
  <c r="L207"/>
  <c r="L208"/>
  <c r="L209"/>
  <c r="L210"/>
  <c r="L211"/>
  <c r="L212"/>
  <c r="L213"/>
  <c r="L214"/>
  <c r="L215"/>
  <c r="L216"/>
  <c r="L217"/>
  <c r="L218"/>
  <c r="L219"/>
  <c r="L220"/>
  <c r="L221"/>
  <c r="L223"/>
  <c r="L224"/>
  <c r="L225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3"/>
  <c r="L254"/>
  <c r="L255"/>
  <c r="L256"/>
  <c r="L257"/>
  <c r="L258"/>
  <c r="L260"/>
  <c r="L261"/>
  <c r="L262"/>
  <c r="L263"/>
  <c r="L266"/>
  <c r="L267"/>
  <c r="L268"/>
  <c r="L269"/>
  <c r="L270"/>
  <c r="L271"/>
  <c r="L272"/>
  <c r="L273"/>
  <c r="L275"/>
  <c r="L276"/>
  <c r="L278"/>
  <c r="L282"/>
  <c r="L284"/>
  <c r="L286"/>
  <c r="L287"/>
  <c r="L288"/>
  <c r="L289"/>
  <c r="L290"/>
  <c r="L291"/>
  <c r="L292"/>
  <c r="L294"/>
  <c r="L295"/>
  <c r="L296"/>
  <c r="L298"/>
  <c r="L300"/>
  <c r="L301"/>
  <c r="L302"/>
  <c r="L303"/>
  <c r="L304"/>
  <c r="L305"/>
  <c r="L306"/>
  <c r="L308"/>
  <c r="L309"/>
  <c r="L310"/>
  <c r="L312"/>
  <c r="L313"/>
  <c r="L315"/>
  <c r="L316"/>
  <c r="L317"/>
  <c r="L318"/>
  <c r="L319"/>
  <c r="L320"/>
  <c r="L321"/>
  <c r="L322"/>
  <c r="L323"/>
  <c r="L325"/>
  <c r="L326"/>
  <c r="L327"/>
  <c r="L328"/>
  <c r="L329"/>
  <c r="L330"/>
  <c r="L331"/>
  <c r="L332"/>
  <c r="L333"/>
  <c r="L334"/>
  <c r="L335"/>
  <c r="L336"/>
  <c r="L337"/>
  <c r="L338"/>
  <c r="L339"/>
  <c r="L341"/>
  <c r="L342"/>
  <c r="L343"/>
  <c r="L344"/>
  <c r="L345"/>
  <c r="L346"/>
  <c r="L347"/>
  <c r="L349"/>
  <c r="L350"/>
  <c r="L352"/>
  <c r="L353"/>
  <c r="L355"/>
  <c r="L358"/>
  <c r="L359"/>
  <c r="L360"/>
  <c r="L361"/>
  <c r="L362"/>
  <c r="L363"/>
  <c r="L364"/>
  <c r="L365"/>
  <c r="L366"/>
  <c r="L367"/>
  <c r="L369"/>
  <c r="L370"/>
  <c r="L371"/>
  <c r="L376"/>
  <c r="L378"/>
  <c r="L379"/>
  <c r="L380"/>
  <c r="L381"/>
  <c r="L382"/>
  <c r="L383"/>
  <c r="L384"/>
  <c r="L385"/>
  <c r="L386"/>
  <c r="L387"/>
  <c r="L388"/>
  <c r="L389"/>
  <c r="L390"/>
  <c r="L392"/>
  <c r="L393"/>
  <c r="L394"/>
  <c r="L395"/>
  <c r="L396"/>
  <c r="L397"/>
  <c r="L398"/>
  <c r="L400"/>
  <c r="L401"/>
  <c r="L402"/>
  <c r="L403"/>
  <c r="L404"/>
  <c r="L405"/>
  <c r="L406"/>
  <c r="L407"/>
  <c r="L409"/>
  <c r="L410"/>
  <c r="L411"/>
  <c r="L412"/>
  <c r="L413"/>
  <c r="L414"/>
  <c r="L415"/>
  <c r="L416"/>
  <c r="L417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5"/>
  <c r="L446"/>
  <c r="L447"/>
  <c r="L448"/>
  <c r="L449"/>
  <c r="L450"/>
  <c r="L451"/>
  <c r="L452"/>
  <c r="L454"/>
  <c r="L455"/>
  <c r="L456"/>
  <c r="L457"/>
  <c r="L458"/>
  <c r="L459"/>
  <c r="L460"/>
  <c r="L461"/>
  <c r="L462"/>
  <c r="L463"/>
  <c r="L464"/>
  <c r="L466"/>
  <c r="L467"/>
  <c r="L468"/>
  <c r="L469"/>
  <c r="L470"/>
  <c r="L471"/>
  <c r="L472"/>
  <c r="L474"/>
  <c r="L475"/>
  <c r="L476"/>
  <c r="L477"/>
  <c r="L479"/>
  <c r="L480"/>
  <c r="L481"/>
  <c r="L482"/>
  <c r="L483"/>
  <c r="L484"/>
  <c r="L485"/>
  <c r="L486"/>
  <c r="L487"/>
  <c r="L488"/>
  <c r="L489"/>
  <c r="L490"/>
  <c r="L491"/>
  <c r="L492"/>
  <c r="L493"/>
  <c r="L494"/>
  <c r="L497"/>
  <c r="L498"/>
  <c r="L499"/>
  <c r="M511" l="1"/>
  <c r="M334"/>
  <c r="K54" i="1"/>
  <c r="K53"/>
  <c r="K52"/>
  <c r="K51"/>
  <c r="K50"/>
  <c r="K48"/>
  <c r="K47"/>
  <c r="K46"/>
  <c r="K45"/>
  <c r="K43"/>
  <c r="K42"/>
  <c r="K41"/>
  <c r="K38"/>
  <c r="K35"/>
  <c r="K34"/>
  <c r="K32"/>
  <c r="K31"/>
  <c r="K30"/>
  <c r="K29"/>
  <c r="K28"/>
  <c r="K27"/>
  <c r="K25"/>
  <c r="K24"/>
  <c r="K22"/>
  <c r="K21"/>
  <c r="K18"/>
  <c r="K17"/>
  <c r="K12"/>
  <c r="K11"/>
  <c r="K10"/>
  <c r="K8"/>
  <c r="K7"/>
  <c r="L57" l="1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G11" i="4"/>
  <c r="G12"/>
  <c r="G10"/>
  <c r="L32" i="1"/>
  <c r="L31"/>
  <c r="L30"/>
  <c r="L29"/>
  <c r="L28"/>
  <c r="L27"/>
  <c r="L25"/>
  <c r="L24"/>
  <c r="L23"/>
  <c r="L22"/>
  <c r="L21"/>
  <c r="L20"/>
  <c r="L19"/>
  <c r="L18"/>
  <c r="L17"/>
  <c r="L16"/>
  <c r="L15"/>
  <c r="L14"/>
  <c r="L12"/>
  <c r="L11"/>
  <c r="L10"/>
  <c r="L8"/>
  <c r="L7"/>
  <c r="M521" i="3"/>
  <c r="M520"/>
  <c r="M519"/>
  <c r="M514"/>
  <c r="M507"/>
  <c r="M506"/>
  <c r="M503"/>
  <c r="M501"/>
  <c r="M500"/>
  <c r="M499"/>
  <c r="M498"/>
  <c r="M497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7"/>
  <c r="M476"/>
  <c r="M475"/>
  <c r="M474"/>
  <c r="M472"/>
  <c r="M471"/>
  <c r="M470"/>
  <c r="M469"/>
  <c r="M468"/>
  <c r="M467"/>
  <c r="M466"/>
  <c r="M464"/>
  <c r="M463"/>
  <c r="M462"/>
  <c r="M461"/>
  <c r="M460"/>
  <c r="M459"/>
  <c r="M458"/>
  <c r="M457"/>
  <c r="M456"/>
  <c r="M455"/>
  <c r="M454"/>
  <c r="M452"/>
  <c r="M451"/>
  <c r="M450"/>
  <c r="M449"/>
  <c r="M448"/>
  <c r="M447"/>
  <c r="M446"/>
  <c r="M445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3"/>
  <c r="M422"/>
  <c r="M421"/>
  <c r="M420"/>
  <c r="M419"/>
  <c r="M417"/>
  <c r="M416"/>
  <c r="M415"/>
  <c r="M414"/>
  <c r="M413"/>
  <c r="M412"/>
  <c r="M411"/>
  <c r="M410"/>
  <c r="M409"/>
  <c r="M407"/>
  <c r="M406"/>
  <c r="M405"/>
  <c r="M404"/>
  <c r="M403"/>
  <c r="M402"/>
  <c r="M401"/>
  <c r="M400"/>
  <c r="M398"/>
  <c r="M397"/>
  <c r="M396"/>
  <c r="M395"/>
  <c r="M394"/>
  <c r="M393"/>
  <c r="M392"/>
  <c r="M388"/>
  <c r="M383"/>
  <c r="M390"/>
  <c r="M389"/>
  <c r="M387"/>
  <c r="M386"/>
  <c r="M385"/>
  <c r="M384"/>
  <c r="M382"/>
  <c r="M381"/>
  <c r="M380"/>
  <c r="M379"/>
  <c r="M378"/>
  <c r="M376"/>
  <c r="M371"/>
  <c r="M370"/>
  <c r="M369"/>
  <c r="M367"/>
  <c r="M366"/>
  <c r="M365"/>
  <c r="M364"/>
  <c r="M363"/>
  <c r="M362"/>
  <c r="M361"/>
  <c r="M360"/>
  <c r="M359"/>
  <c r="M358"/>
  <c r="M355"/>
  <c r="M353"/>
  <c r="M352"/>
  <c r="M350"/>
  <c r="M349"/>
  <c r="M347"/>
  <c r="M346"/>
  <c r="M345"/>
  <c r="M344"/>
  <c r="M343"/>
  <c r="M342"/>
  <c r="M341"/>
  <c r="M339"/>
  <c r="M338"/>
  <c r="M337"/>
  <c r="M336"/>
  <c r="M335"/>
  <c r="M333"/>
  <c r="M332"/>
  <c r="M331"/>
  <c r="M330"/>
  <c r="M329"/>
  <c r="M328"/>
  <c r="M327"/>
  <c r="M326"/>
  <c r="M325"/>
  <c r="M323"/>
  <c r="M322"/>
  <c r="M321"/>
  <c r="M320"/>
  <c r="M319"/>
  <c r="M318"/>
  <c r="M317"/>
  <c r="M316"/>
  <c r="M315"/>
  <c r="M313"/>
  <c r="M312"/>
  <c r="M310"/>
  <c r="M309"/>
  <c r="M308"/>
  <c r="M306"/>
  <c r="M305"/>
  <c r="M304"/>
  <c r="M303"/>
  <c r="M302"/>
  <c r="M301"/>
  <c r="M300"/>
  <c r="M298"/>
  <c r="M296"/>
  <c r="M295"/>
  <c r="M294"/>
  <c r="M292"/>
  <c r="M291"/>
  <c r="M290"/>
  <c r="M289"/>
  <c r="M288"/>
  <c r="M287"/>
  <c r="M286"/>
  <c r="M284"/>
  <c r="M282"/>
  <c r="M278"/>
  <c r="M276"/>
  <c r="M275"/>
  <c r="M273"/>
  <c r="M272"/>
  <c r="M271"/>
  <c r="M270"/>
  <c r="M269"/>
  <c r="M268"/>
  <c r="M267"/>
  <c r="M266"/>
  <c r="M263"/>
  <c r="M262"/>
  <c r="M261"/>
  <c r="M260"/>
  <c r="M258"/>
  <c r="M257"/>
  <c r="M256"/>
  <c r="M255"/>
  <c r="M254"/>
  <c r="M253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5"/>
  <c r="M224"/>
  <c r="M223"/>
  <c r="M221"/>
  <c r="M220"/>
  <c r="M219"/>
  <c r="M218"/>
  <c r="M217"/>
  <c r="M216"/>
  <c r="M215"/>
  <c r="M214"/>
  <c r="M213"/>
  <c r="M212"/>
  <c r="M211"/>
  <c r="M210"/>
  <c r="M209"/>
  <c r="M208"/>
  <c r="M207"/>
  <c r="M205"/>
  <c r="M204"/>
  <c r="M202"/>
  <c r="M201"/>
  <c r="M200"/>
  <c r="M199"/>
  <c r="M198"/>
  <c r="M197"/>
  <c r="M196"/>
  <c r="M195"/>
  <c r="M194"/>
  <c r="M193"/>
  <c r="M192"/>
  <c r="M191"/>
  <c r="M189"/>
  <c r="M188"/>
  <c r="M186"/>
  <c r="M184"/>
  <c r="M182"/>
  <c r="M181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59"/>
  <c r="M158"/>
  <c r="M157"/>
  <c r="M156"/>
  <c r="M155"/>
  <c r="M154"/>
  <c r="M153"/>
  <c r="M152"/>
  <c r="M151"/>
  <c r="M148"/>
  <c r="M147"/>
  <c r="M146"/>
  <c r="M145"/>
  <c r="M143"/>
  <c r="M141"/>
  <c r="M140"/>
  <c r="M139"/>
  <c r="M138"/>
  <c r="M137"/>
  <c r="M136"/>
  <c r="M135"/>
  <c r="M133"/>
  <c r="M132"/>
  <c r="M131"/>
  <c r="M130"/>
  <c r="M128"/>
  <c r="M123"/>
  <c r="M122"/>
  <c r="M121"/>
  <c r="M120"/>
  <c r="M119"/>
  <c r="M116"/>
  <c r="M115"/>
  <c r="M114"/>
  <c r="M113"/>
  <c r="M112"/>
  <c r="M111"/>
  <c r="M110"/>
  <c r="M109"/>
  <c r="M108"/>
  <c r="M107"/>
  <c r="M106"/>
  <c r="M104"/>
  <c r="M103"/>
  <c r="M102"/>
  <c r="M101"/>
  <c r="M99"/>
  <c r="M98"/>
  <c r="M97"/>
  <c r="M96"/>
  <c r="M95"/>
  <c r="M94"/>
  <c r="M93"/>
  <c r="M91"/>
  <c r="M89"/>
  <c r="M88"/>
  <c r="M82"/>
  <c r="M80"/>
  <c r="M79"/>
  <c r="M76"/>
  <c r="M75"/>
  <c r="M74"/>
  <c r="M71"/>
  <c r="M70"/>
  <c r="M69"/>
  <c r="M68"/>
  <c r="M67"/>
  <c r="M66"/>
  <c r="M65"/>
  <c r="M64"/>
  <c r="M63"/>
  <c r="M61"/>
  <c r="M59"/>
  <c r="M58"/>
  <c r="M57"/>
  <c r="M56"/>
  <c r="M55"/>
  <c r="M54"/>
  <c r="M53"/>
  <c r="M52"/>
  <c r="M51"/>
  <c r="M49"/>
  <c r="M47"/>
  <c r="M46"/>
  <c r="M45"/>
  <c r="M44"/>
  <c r="M43"/>
  <c r="M42"/>
  <c r="M41"/>
  <c r="M40"/>
  <c r="M39"/>
  <c r="M38"/>
  <c r="M37"/>
  <c r="M36"/>
  <c r="M35"/>
  <c r="M34"/>
  <c r="M33"/>
  <c r="M32"/>
  <c r="M31"/>
  <c r="M29"/>
  <c r="M26"/>
  <c r="M24"/>
  <c r="M23"/>
  <c r="M22"/>
  <c r="M21"/>
  <c r="M19" l="1"/>
  <c r="M9"/>
  <c r="M8"/>
  <c r="M7"/>
  <c r="M16"/>
  <c r="M15"/>
  <c r="M14"/>
  <c r="M13"/>
  <c r="M12"/>
  <c r="M11"/>
  <c r="M10"/>
  <c r="M525" l="1"/>
  <c r="M508"/>
  <c r="M504"/>
  <c r="M496"/>
  <c r="M478"/>
  <c r="M465"/>
  <c r="M453"/>
  <c r="M444"/>
  <c r="M374"/>
  <c r="M373"/>
  <c r="M372"/>
  <c r="M368"/>
  <c r="M357"/>
  <c r="M354"/>
  <c r="M348"/>
  <c r="M314"/>
  <c r="M311"/>
  <c r="M307"/>
  <c r="M297"/>
  <c r="M293"/>
  <c r="M285"/>
  <c r="M283"/>
  <c r="M280"/>
  <c r="M279"/>
  <c r="M277"/>
  <c r="M265"/>
  <c r="M264"/>
  <c r="M206"/>
  <c r="M203"/>
  <c r="M179"/>
  <c r="M160"/>
  <c r="M149"/>
  <c r="M129"/>
  <c r="M125"/>
  <c r="M124"/>
  <c r="M118"/>
  <c r="M117"/>
  <c r="M105"/>
  <c r="M90"/>
  <c r="M87"/>
  <c r="M78"/>
  <c r="M77"/>
  <c r="M72"/>
  <c r="M30"/>
  <c r="M17"/>
  <c r="F25" i="1" l="1"/>
  <c r="M20" i="3" l="1"/>
  <c r="F55" i="1" l="1"/>
  <c r="F54" l="1"/>
  <c r="F11" l="1"/>
  <c r="F12" l="1"/>
  <c r="F10"/>
  <c r="F41" l="1"/>
  <c r="F67" i="5" l="1"/>
  <c r="F62"/>
  <c r="F33"/>
  <c r="F75" l="1"/>
  <c r="F25"/>
  <c r="F22"/>
  <c r="F32" i="1" l="1"/>
  <c r="F16" i="5" l="1"/>
  <c r="F47" i="1" l="1"/>
  <c r="F30" i="5" l="1"/>
  <c r="F65"/>
  <c r="F32" l="1"/>
  <c r="F34"/>
  <c r="F99" l="1"/>
  <c r="F98"/>
  <c r="F96"/>
  <c r="F95"/>
  <c r="F94"/>
  <c r="F93"/>
  <c r="F92"/>
  <c r="F91"/>
  <c r="F89"/>
  <c r="F87"/>
  <c r="F86"/>
  <c r="F85"/>
  <c r="F84"/>
  <c r="F83"/>
  <c r="F82"/>
  <c r="F80"/>
  <c r="F79"/>
  <c r="F77"/>
  <c r="F74"/>
  <c r="F73"/>
  <c r="F71"/>
  <c r="F70"/>
  <c r="F69"/>
  <c r="F66"/>
  <c r="F63"/>
  <c r="F61"/>
  <c r="F59"/>
  <c r="F58"/>
  <c r="F57"/>
  <c r="F55"/>
  <c r="F54"/>
  <c r="F53"/>
  <c r="F52"/>
  <c r="F50"/>
  <c r="F49"/>
  <c r="F47"/>
  <c r="F46"/>
  <c r="F45"/>
  <c r="F44"/>
  <c r="F43"/>
  <c r="F41"/>
  <c r="F40"/>
  <c r="F38"/>
  <c r="F37"/>
  <c r="F36"/>
  <c r="F35"/>
  <c r="F28"/>
  <c r="F27"/>
  <c r="F24"/>
  <c r="F21"/>
  <c r="F20"/>
  <c r="F18"/>
  <c r="F15"/>
  <c r="F14"/>
  <c r="F13"/>
  <c r="F11"/>
  <c r="F10"/>
  <c r="F9"/>
  <c r="F8"/>
  <c r="F7"/>
  <c r="F8" i="1" l="1"/>
  <c r="F7" l="1"/>
  <c r="F14" l="1"/>
  <c r="F15"/>
  <c r="F16"/>
  <c r="F17"/>
  <c r="F18"/>
  <c r="F19"/>
  <c r="F20"/>
  <c r="F21"/>
  <c r="F22"/>
  <c r="F23"/>
  <c r="F24"/>
  <c r="F27"/>
  <c r="F28"/>
  <c r="F29"/>
  <c r="F30"/>
  <c r="F31"/>
  <c r="F34"/>
  <c r="F35"/>
  <c r="F36"/>
  <c r="F37"/>
  <c r="F38"/>
  <c r="F39"/>
  <c r="F40"/>
  <c r="F42"/>
  <c r="F43"/>
  <c r="F44"/>
  <c r="F45"/>
  <c r="F46"/>
  <c r="F48"/>
  <c r="F49"/>
  <c r="F50"/>
  <c r="F51"/>
  <c r="F52"/>
  <c r="F53"/>
</calcChain>
</file>

<file path=xl/sharedStrings.xml><?xml version="1.0" encoding="utf-8"?>
<sst xmlns="http://schemas.openxmlformats.org/spreadsheetml/2006/main" count="4613" uniqueCount="1663">
  <si>
    <t>Gazelle - 3302 van (глушитель в бок)</t>
  </si>
  <si>
    <t xml:space="preserve">Rezzo minivan                                                                                                                     Daewoo Tacuma minivan </t>
  </si>
  <si>
    <t xml:space="preserve">Doblo minivan, van </t>
  </si>
  <si>
    <t>Рекламный выставочный стенд для ТСУ</t>
  </si>
  <si>
    <t>LIFAN</t>
  </si>
  <si>
    <t>2009/09-</t>
  </si>
  <si>
    <t>Verso wagon</t>
  </si>
  <si>
    <t>Plate LUX</t>
  </si>
  <si>
    <t>Fiesta HB                                                                                                    Fusion minivan</t>
  </si>
  <si>
    <t>Tourneo Connect minivan, van                                                                                             Transit Connect minivan, van</t>
  </si>
  <si>
    <t>Matrix minivan</t>
  </si>
  <si>
    <t xml:space="preserve">Carens minivan </t>
  </si>
  <si>
    <t xml:space="preserve">Carnival minivan </t>
  </si>
  <si>
    <t>Note minivan</t>
  </si>
  <si>
    <t>Partner I minivan, van                                                                                                                        Citroen Berlingo I minivan, van</t>
  </si>
  <si>
    <t>БАФ-0002</t>
  </si>
  <si>
    <t>Berlingo I minivan, van                                                                                              Peugeot Partner I minivan, van</t>
  </si>
  <si>
    <t xml:space="preserve">Roomster minivan </t>
  </si>
  <si>
    <t>Caddy III minivan, van                                                                       Caddy III Maxi minivan, van</t>
  </si>
  <si>
    <t xml:space="preserve">Gazelle - 2705, 3221minibus (глушитель в бок)         </t>
  </si>
  <si>
    <t>Gazelle - 2752 Sobol, 2217 Barguzin minibus (глушитель в бок)</t>
  </si>
  <si>
    <t xml:space="preserve">Gazelle - 2752 Sobol, 2217 Barguzin minibus </t>
  </si>
  <si>
    <t xml:space="preserve">Gazelle - 2705 minibus </t>
  </si>
  <si>
    <t xml:space="preserve">100 sedan, wagon                                                                                                                                                                                                            A6 sedan, wagon                                                                                                                                                                                                                     A6 Quattro sedan, wagon                                                                                                                                                                                                                                        </t>
  </si>
  <si>
    <t>2001/5-2008/1                                                                                                                                                                                                                   2001/4-</t>
  </si>
  <si>
    <t>2008/8-</t>
  </si>
  <si>
    <t>I20 HB</t>
  </si>
  <si>
    <t>2009-</t>
  </si>
  <si>
    <t>1997-2006</t>
  </si>
  <si>
    <t>Escape 4x4</t>
  </si>
  <si>
    <t>2001/9-2003/1                                                                                                                                                                                                             2001-2003</t>
  </si>
  <si>
    <t xml:space="preserve">   2001/4-                                                                                                                                                                                                                2001/5-2008/1</t>
  </si>
  <si>
    <t>Распродажа остатков</t>
  </si>
  <si>
    <t>022-504</t>
  </si>
  <si>
    <t>023-394</t>
  </si>
  <si>
    <t xml:space="preserve">Sportage 4x4                                                                          Hyundai Tucson 4x4                             </t>
  </si>
  <si>
    <t>1990/12-1994                                                                                                                                                                                                          1994-1997/3                                                                                                                                                                                                                        1994-1997/3</t>
  </si>
  <si>
    <t>Santa Fe 4x4 (Tagaz)</t>
  </si>
  <si>
    <t>А</t>
  </si>
  <si>
    <t>Pajero Sport 4x4</t>
  </si>
  <si>
    <t>Combo minivan</t>
  </si>
  <si>
    <t>2008/05-</t>
  </si>
  <si>
    <t>H 200 minibus 4x4</t>
  </si>
  <si>
    <t>2003-2009</t>
  </si>
  <si>
    <t>Шаровый узел на американские автомобили ( под квадратное отверстие на  30 в корпусе ТСУ ) ( на базе шара "Е") ( грузоподъемностью 1500 кг )</t>
  </si>
  <si>
    <r>
      <t xml:space="preserve">Lada - Priora 21703 HB                                                                                                     Lada - Priora sedan,  wagon                                                                                                          Lada </t>
    </r>
    <r>
      <rPr>
        <sz val="12"/>
        <color indexed="8"/>
        <rFont val="Arial"/>
        <family val="2"/>
        <charset val="204"/>
      </rPr>
      <t xml:space="preserve">- 2110 sedan                                                                                          Lada - 2111 wagon                                                                                             Lada - 2112 HB </t>
    </r>
  </si>
  <si>
    <t>0856</t>
  </si>
  <si>
    <t>3500/120</t>
  </si>
  <si>
    <t>3500/140</t>
  </si>
  <si>
    <t>7808</t>
  </si>
  <si>
    <t>2005-2010                                                                                                                                                                                                                                  2004-2010</t>
  </si>
  <si>
    <t>2004-2010                                                                                                                                                                                                                   2005-2010</t>
  </si>
  <si>
    <t xml:space="preserve"> 2003-2007                                                                                                                                                                                                                               1998/3-2007 </t>
  </si>
  <si>
    <t xml:space="preserve">       Наименование товара</t>
  </si>
  <si>
    <t>Параметры</t>
  </si>
  <si>
    <t>максимальная нагрузка</t>
  </si>
  <si>
    <t>055-707</t>
  </si>
  <si>
    <t>Автобагажник (универсальный на рейлинги)</t>
  </si>
  <si>
    <t>100 кг</t>
  </si>
  <si>
    <t>055-907</t>
  </si>
  <si>
    <t>926-1190 mm</t>
  </si>
  <si>
    <t xml:space="preserve">2001-2003                                                                                                                                                                                                                            2001/9-2003/1   </t>
  </si>
  <si>
    <t>2006/5-                                                                                                                                                                                                                             2006-</t>
  </si>
  <si>
    <t>2000/3-2007/1                                                                                                                                                                                                                          2007/2-</t>
  </si>
  <si>
    <t>2008/10-</t>
  </si>
  <si>
    <t>0872</t>
  </si>
  <si>
    <t>2003-2009/10</t>
  </si>
  <si>
    <t>Lanos sedan                                                                                                         SENS sedan                                                                                        Chevrolet Lanos sedan</t>
  </si>
  <si>
    <t>2002/3-2006</t>
  </si>
  <si>
    <t xml:space="preserve">Accent HB, sedan </t>
  </si>
  <si>
    <t>2006-                                                                                                                                                                                                                                        2005/9-2008</t>
  </si>
  <si>
    <t>I30 HB                                                                                                Kia Ceed HB</t>
  </si>
  <si>
    <t>LX 570 4x4                                                                                                                                                                                                                 Toyota Land Cruiser 200 4x4</t>
  </si>
  <si>
    <t>LX 570 4x4                                                                                                                                                                                                                              Toyota Land Cruiser 200 4x4</t>
  </si>
  <si>
    <t xml:space="preserve">Maxus minibus </t>
  </si>
  <si>
    <t>Cruze sedan</t>
  </si>
  <si>
    <t>0871</t>
  </si>
  <si>
    <t>1993/10-1996/9                                                                                                                                                                                                                        1993/10-1997/4</t>
  </si>
  <si>
    <t>Camry sedan</t>
  </si>
  <si>
    <t xml:space="preserve">Ranger 4x4                                                                            Mazda BT 50 truck                                                                                                                                        </t>
  </si>
  <si>
    <t xml:space="preserve">Ranger 4x4                                                                               Mazda B 2500 pick-up                                                                                                                                </t>
  </si>
  <si>
    <t xml:space="preserve">1999/10-2007                                                                                                                                                                                                    1999-2006                                                                                                                                                                                                              </t>
  </si>
  <si>
    <t xml:space="preserve">B 2500 pick-up                                                                                                                                                                                   Ford Ranger 4x4  </t>
  </si>
  <si>
    <t>2005/9-2008</t>
  </si>
  <si>
    <t xml:space="preserve">1999-2006                                                                                                                                                                                                                                                                                                                                                                                                                                             1999/10-2007  </t>
  </si>
  <si>
    <t xml:space="preserve">BT 50 truck                                                                                 Ford Ranger 4x4  </t>
  </si>
  <si>
    <t xml:space="preserve"> IX35 4x4</t>
  </si>
  <si>
    <t>Шаровый узел на американские автомобили ( под квадратное отверстие на 50 в корпусе ТСУ ) ( на базе шара "F" ) ( грузоподъемностью 2000 кг )</t>
  </si>
  <si>
    <t>Шаровый узел на американские автомобили ( под квадратное отверстие на  50 в корпусе ТСУ ) ( на базе шара "Е") ( грузоподъемностью 1500 кг )</t>
  </si>
  <si>
    <t>2002-</t>
  </si>
  <si>
    <t>2004-</t>
  </si>
  <si>
    <t>Тип шара</t>
  </si>
  <si>
    <t>F</t>
  </si>
  <si>
    <t>Сцепной шар типа "А" (ISO/50)</t>
  </si>
  <si>
    <t>Розетка к ТСУ  EDV 7P (без эл. жгута)</t>
  </si>
  <si>
    <t>KIA</t>
  </si>
  <si>
    <t>A</t>
  </si>
  <si>
    <t>Год выпуска</t>
  </si>
  <si>
    <t>2003-</t>
  </si>
  <si>
    <t>2005-</t>
  </si>
  <si>
    <t>2001-</t>
  </si>
  <si>
    <t>1997/5-</t>
  </si>
  <si>
    <t>PORSCHE</t>
  </si>
  <si>
    <t>E</t>
  </si>
  <si>
    <t>VOLVO</t>
  </si>
  <si>
    <t>BMW</t>
  </si>
  <si>
    <t>022-794</t>
  </si>
  <si>
    <t>022-834</t>
  </si>
  <si>
    <t>022-104</t>
  </si>
  <si>
    <t>2006-</t>
  </si>
  <si>
    <t>2005/9-</t>
  </si>
  <si>
    <t>Статус</t>
  </si>
  <si>
    <t xml:space="preserve">Цена в руб. с учётом НДС </t>
  </si>
  <si>
    <t>Рекомендованная розничная цена</t>
  </si>
  <si>
    <t xml:space="preserve">Corolla wagon   </t>
  </si>
  <si>
    <t>V</t>
  </si>
  <si>
    <t>CITROEN</t>
  </si>
  <si>
    <t>2007-</t>
  </si>
  <si>
    <t>CHERY</t>
  </si>
  <si>
    <t>1995-2000/4</t>
  </si>
  <si>
    <t>1998-2005</t>
  </si>
  <si>
    <t>1997-2002/2</t>
  </si>
  <si>
    <t>2002/8-2005/10</t>
  </si>
  <si>
    <t>2001/7-2006</t>
  </si>
  <si>
    <t>2002- 2006</t>
  </si>
  <si>
    <t>1998-</t>
  </si>
  <si>
    <t>1995-2006</t>
  </si>
  <si>
    <t>1998- 2005</t>
  </si>
  <si>
    <t>Fabia HB</t>
  </si>
  <si>
    <t xml:space="preserve">Jeep  </t>
  </si>
  <si>
    <t>1999/3-2005/5</t>
  </si>
  <si>
    <t>Аксессуары</t>
  </si>
  <si>
    <t>Шары под американские авто</t>
  </si>
  <si>
    <t xml:space="preserve">Шары  </t>
  </si>
  <si>
    <t>Кронштейн розетки из нержавейки</t>
  </si>
  <si>
    <t xml:space="preserve">Focus II wagon  </t>
  </si>
  <si>
    <t>2006/7-</t>
  </si>
  <si>
    <t>2003-2006/6</t>
  </si>
  <si>
    <t>1997-2008</t>
  </si>
  <si>
    <t>2000-2005</t>
  </si>
  <si>
    <t>2008-</t>
  </si>
  <si>
    <t>2002-2007</t>
  </si>
  <si>
    <t>1995-</t>
  </si>
  <si>
    <t>H</t>
  </si>
  <si>
    <t>C</t>
  </si>
  <si>
    <t>%</t>
  </si>
  <si>
    <t>Код шара</t>
  </si>
  <si>
    <t>1400/75</t>
  </si>
  <si>
    <t>1200/75</t>
  </si>
  <si>
    <t>1100/50</t>
  </si>
  <si>
    <t>1100/75</t>
  </si>
  <si>
    <t>1500/75</t>
  </si>
  <si>
    <t>1000/75</t>
  </si>
  <si>
    <t>1300/75</t>
  </si>
  <si>
    <t>1150/50</t>
  </si>
  <si>
    <t>1200/50</t>
  </si>
  <si>
    <t>1500/80</t>
  </si>
  <si>
    <t>1500/90</t>
  </si>
  <si>
    <t>1400/65</t>
  </si>
  <si>
    <t>1500/100</t>
  </si>
  <si>
    <t>2000/120</t>
  </si>
  <si>
    <t>2000/100</t>
  </si>
  <si>
    <t>1200/80</t>
  </si>
  <si>
    <t>1500/50</t>
  </si>
  <si>
    <t>1200/60</t>
  </si>
  <si>
    <t>2300/100</t>
  </si>
  <si>
    <t>2000/90</t>
  </si>
  <si>
    <t>0815</t>
  </si>
  <si>
    <t>0181</t>
  </si>
  <si>
    <t>0822</t>
  </si>
  <si>
    <t>0833</t>
  </si>
  <si>
    <t>0836</t>
  </si>
  <si>
    <t>0852</t>
  </si>
  <si>
    <t>0821</t>
  </si>
  <si>
    <t>0803</t>
  </si>
  <si>
    <t>0199</t>
  </si>
  <si>
    <t>0135</t>
  </si>
  <si>
    <t>0185</t>
  </si>
  <si>
    <t>0160</t>
  </si>
  <si>
    <t>0165</t>
  </si>
  <si>
    <t>0216</t>
  </si>
  <si>
    <t>0186</t>
  </si>
  <si>
    <t>0176</t>
  </si>
  <si>
    <t>0187</t>
  </si>
  <si>
    <t>0829</t>
  </si>
  <si>
    <t>0853</t>
  </si>
  <si>
    <t>0804</t>
  </si>
  <si>
    <t>0840</t>
  </si>
  <si>
    <t>0188</t>
  </si>
  <si>
    <t>0159</t>
  </si>
  <si>
    <t>0140</t>
  </si>
  <si>
    <t>0410</t>
  </si>
  <si>
    <t>0843</t>
  </si>
  <si>
    <t>0208</t>
  </si>
  <si>
    <t>0824</t>
  </si>
  <si>
    <t>0809</t>
  </si>
  <si>
    <t>0807</t>
  </si>
  <si>
    <t>0814</t>
  </si>
  <si>
    <t>0834</t>
  </si>
  <si>
    <t>0701</t>
  </si>
  <si>
    <t>0812</t>
  </si>
  <si>
    <t>0828</t>
  </si>
  <si>
    <t>0841</t>
  </si>
  <si>
    <t>0855</t>
  </si>
  <si>
    <t>0854</t>
  </si>
  <si>
    <t>0837</t>
  </si>
  <si>
    <t>0800</t>
  </si>
  <si>
    <t>0166</t>
  </si>
  <si>
    <t>0816</t>
  </si>
  <si>
    <t>0148</t>
  </si>
  <si>
    <t>0810</t>
  </si>
  <si>
    <t>0491</t>
  </si>
  <si>
    <t>0189</t>
  </si>
  <si>
    <t>0820</t>
  </si>
  <si>
    <t>0830</t>
  </si>
  <si>
    <t>0808</t>
  </si>
  <si>
    <t>0835</t>
  </si>
  <si>
    <t>0844</t>
  </si>
  <si>
    <t>0220</t>
  </si>
  <si>
    <t>0300</t>
  </si>
  <si>
    <t>0164</t>
  </si>
  <si>
    <t>0315</t>
  </si>
  <si>
    <t>0182</t>
  </si>
  <si>
    <t>0137</t>
  </si>
  <si>
    <t>0825</t>
  </si>
  <si>
    <t>0138</t>
  </si>
  <si>
    <t>0313</t>
  </si>
  <si>
    <t>0832</t>
  </si>
  <si>
    <t>0184</t>
  </si>
  <si>
    <t>0826</t>
  </si>
  <si>
    <t>0212</t>
  </si>
  <si>
    <t>0867</t>
  </si>
  <si>
    <t>716-970 mm</t>
  </si>
  <si>
    <t>0857</t>
  </si>
  <si>
    <t>1300/50</t>
  </si>
  <si>
    <t>0858</t>
  </si>
  <si>
    <t>0861</t>
  </si>
  <si>
    <t>1000/50</t>
  </si>
  <si>
    <t>0149</t>
  </si>
  <si>
    <t>2000/85</t>
  </si>
  <si>
    <t>0860</t>
  </si>
  <si>
    <t>1300/60</t>
  </si>
  <si>
    <t>0863</t>
  </si>
  <si>
    <t>0049</t>
  </si>
  <si>
    <t>0255</t>
  </si>
  <si>
    <t>0865</t>
  </si>
  <si>
    <t>0145</t>
  </si>
  <si>
    <t>2000/75</t>
  </si>
  <si>
    <t>2500/100</t>
  </si>
  <si>
    <t>0862</t>
  </si>
  <si>
    <t>0859</t>
  </si>
  <si>
    <t>0866</t>
  </si>
  <si>
    <t>A6 Allroad Quattro wagon</t>
  </si>
  <si>
    <t>AUDI</t>
  </si>
  <si>
    <t>CHEVROLET</t>
  </si>
  <si>
    <t>Captivа 4x4</t>
  </si>
  <si>
    <t>Epica sedan</t>
  </si>
  <si>
    <t>Avensis sedan</t>
  </si>
  <si>
    <t>700/50</t>
  </si>
  <si>
    <t>0870</t>
  </si>
  <si>
    <t>Matiz HB</t>
  </si>
  <si>
    <t>Grand Cherokee 4x4</t>
  </si>
  <si>
    <t>Amulet sedan</t>
  </si>
  <si>
    <t>CHRYSLER</t>
  </si>
  <si>
    <t>Sandero HB</t>
  </si>
  <si>
    <t>Tribeca 4x4</t>
  </si>
  <si>
    <t>1996-2008</t>
  </si>
  <si>
    <t>DAEWOO</t>
  </si>
  <si>
    <t>DODGE</t>
  </si>
  <si>
    <t>FIAT</t>
  </si>
  <si>
    <t>Albea sedan</t>
  </si>
  <si>
    <t>FORD</t>
  </si>
  <si>
    <t xml:space="preserve">Focus I HB, sedan </t>
  </si>
  <si>
    <t>Maverick 4x4
Mazda Tribute 4x4</t>
  </si>
  <si>
    <t>GREAT WALL</t>
  </si>
  <si>
    <t xml:space="preserve">Hover 4x4           </t>
  </si>
  <si>
    <t xml:space="preserve">Safe 4x4 </t>
  </si>
  <si>
    <t>HONDA</t>
  </si>
  <si>
    <t>CR-V 4x4</t>
  </si>
  <si>
    <t>HR-V 4x4</t>
  </si>
  <si>
    <t>HYUNDAI</t>
  </si>
  <si>
    <t>Getz HB</t>
  </si>
  <si>
    <t>Santa Fe 4x4</t>
  </si>
  <si>
    <t>2001- 2006</t>
  </si>
  <si>
    <t>Sportage 4x4</t>
  </si>
  <si>
    <t xml:space="preserve">Sorento 4x4 </t>
  </si>
  <si>
    <t xml:space="preserve">Cerato HB, sedan  </t>
  </si>
  <si>
    <t>LAND ROVER</t>
  </si>
  <si>
    <t>LEXUS</t>
  </si>
  <si>
    <t>1997-2003</t>
  </si>
  <si>
    <t>MAZDA</t>
  </si>
  <si>
    <t>Tribute 4x4                                                                                       Ford Maverick 4x4</t>
  </si>
  <si>
    <t>2002/6-2008</t>
  </si>
  <si>
    <t>MERCEDES</t>
  </si>
  <si>
    <t>Maverick 4x4                                                                             Mazda Tribute 4x4</t>
  </si>
  <si>
    <t>Tucson 4x4                                                                                    Kia Sportage 4x4</t>
  </si>
  <si>
    <t>Verna HB, sedan                                                                          Kia Rio II sedan</t>
  </si>
  <si>
    <t>Rio II sedan                                                                          Hyundai Verna HB, sedan</t>
  </si>
  <si>
    <t xml:space="preserve">M-Class 4x4 </t>
  </si>
  <si>
    <t>MITSUBISHI</t>
  </si>
  <si>
    <t>1999-2005</t>
  </si>
  <si>
    <t>Pajero Pinin 4x4</t>
  </si>
  <si>
    <t>Pajero III 4x4                                                                                              Pajero IV 4x4</t>
  </si>
  <si>
    <t>Koleos  4x4</t>
  </si>
  <si>
    <t>2003- 2008/11                                                                                                                                                                                                                           2003/9-2008</t>
  </si>
  <si>
    <t>Rio sedan</t>
  </si>
  <si>
    <t>1100/60</t>
  </si>
  <si>
    <t>2006-2008</t>
  </si>
  <si>
    <t>2004-2008</t>
  </si>
  <si>
    <t>2005/9-2008                                                                                                                                                                                                                        2006-</t>
  </si>
  <si>
    <t>Grand Vitara 4x4  ( 5 doors)</t>
  </si>
  <si>
    <t>Lancer HB, sedan, wagon</t>
  </si>
  <si>
    <t>1998-2008</t>
  </si>
  <si>
    <t>2003-2006/10</t>
  </si>
  <si>
    <t>2004-2007</t>
  </si>
  <si>
    <t>Lancer sedan</t>
  </si>
  <si>
    <t>NISSAN</t>
  </si>
  <si>
    <t xml:space="preserve">Patrol GR 4x4 </t>
  </si>
  <si>
    <t xml:space="preserve">Almera sedan </t>
  </si>
  <si>
    <t xml:space="preserve">Primera HB, sedan </t>
  </si>
  <si>
    <t>2001/9-2007/6</t>
  </si>
  <si>
    <t xml:space="preserve">Murano 4x4 </t>
  </si>
  <si>
    <t xml:space="preserve">Almera Classic sedan </t>
  </si>
  <si>
    <t xml:space="preserve">Tiida HB, sedan </t>
  </si>
  <si>
    <t>OPEL</t>
  </si>
  <si>
    <t>PEUGEOT</t>
  </si>
  <si>
    <t>RENAULT</t>
  </si>
  <si>
    <t>Logan sedan                                                                               Dacia sedan</t>
  </si>
  <si>
    <t>Megane Classic II sedan                                                                         Megane II wagon</t>
  </si>
  <si>
    <t>SEAT</t>
  </si>
  <si>
    <t>SKODA</t>
  </si>
  <si>
    <t>Fabia sedan, wagon</t>
  </si>
  <si>
    <t xml:space="preserve">RAV 4 4x4                                                                                                   </t>
  </si>
  <si>
    <t>SSANGYONG</t>
  </si>
  <si>
    <t>Actyon 4x4</t>
  </si>
  <si>
    <t>Kyron II 4x4</t>
  </si>
  <si>
    <t>2006/9-</t>
  </si>
  <si>
    <t xml:space="preserve">Actyon Sports pick-up </t>
  </si>
  <si>
    <t>SUBARU</t>
  </si>
  <si>
    <t xml:space="preserve">Forester 4x4 </t>
  </si>
  <si>
    <t xml:space="preserve">Outback 4x4  </t>
  </si>
  <si>
    <t>SUZUKI</t>
  </si>
  <si>
    <t>Grand Vitara XL 7 4x4</t>
  </si>
  <si>
    <t>TOYOTA</t>
  </si>
  <si>
    <t>1996/4 - 2002</t>
  </si>
  <si>
    <t>2003-2007</t>
  </si>
  <si>
    <t>Corolla HB</t>
  </si>
  <si>
    <t xml:space="preserve">Corolla sedan    </t>
  </si>
  <si>
    <t xml:space="preserve">1998/3-2007 </t>
  </si>
  <si>
    <t>VOLKSWAGEN</t>
  </si>
  <si>
    <t>Passat lV sedan                                                                                                         Passat lV wagon</t>
  </si>
  <si>
    <t>1996-2003</t>
  </si>
  <si>
    <t>0868</t>
  </si>
  <si>
    <t>¦</t>
  </si>
  <si>
    <t xml:space="preserve">       Марка и модель автомобиля</t>
  </si>
  <si>
    <t>2005-2008</t>
  </si>
  <si>
    <t>3500/100</t>
  </si>
  <si>
    <t xml:space="preserve">              Марка и модель автомобиля</t>
  </si>
  <si>
    <t>GAZ</t>
  </si>
  <si>
    <t>ZAZ</t>
  </si>
  <si>
    <t>UAZ</t>
  </si>
  <si>
    <t>Шары</t>
  </si>
  <si>
    <t xml:space="preserve">Volga - 3110, 31105 sedan (двигатель Chrysler)  </t>
  </si>
  <si>
    <t>1999/12-2006</t>
  </si>
  <si>
    <t>1995-2009</t>
  </si>
  <si>
    <t>1997-</t>
  </si>
  <si>
    <t>NP300 pick-up</t>
  </si>
  <si>
    <t>2008/6-</t>
  </si>
  <si>
    <t>2010-</t>
  </si>
  <si>
    <t>Avensis wagon</t>
  </si>
  <si>
    <t>Uaz - 469, 31512, 31514, 2206, 3303, 3909, 3962, 37414x4</t>
  </si>
  <si>
    <t>1972-</t>
  </si>
  <si>
    <t xml:space="preserve">Tiggo 4x4                                                                                                                  Toyota RAV 4 4x4  </t>
  </si>
  <si>
    <t>1984-             1987-               1990-</t>
  </si>
  <si>
    <t xml:space="preserve">1996/1-          1999-            2000-             2007-                  </t>
  </si>
  <si>
    <t>2003-                                             2008-</t>
  </si>
  <si>
    <t xml:space="preserve">2003-                 1999-                                                1999-      </t>
  </si>
  <si>
    <t>1500/70</t>
  </si>
  <si>
    <t>GEELY</t>
  </si>
  <si>
    <t>MK sedan</t>
  </si>
  <si>
    <t>Auris HB</t>
  </si>
  <si>
    <t>2000-2007/2</t>
  </si>
  <si>
    <t>0817</t>
  </si>
  <si>
    <t>0174</t>
  </si>
  <si>
    <t>0150</t>
  </si>
  <si>
    <t>0173</t>
  </si>
  <si>
    <t>0805</t>
  </si>
  <si>
    <t>0845</t>
  </si>
  <si>
    <t>0850</t>
  </si>
  <si>
    <t>0842</t>
  </si>
  <si>
    <t>600/75</t>
  </si>
  <si>
    <t>800/75</t>
  </si>
  <si>
    <t>750/75</t>
  </si>
  <si>
    <t>900/50</t>
  </si>
  <si>
    <t xml:space="preserve">максим / верт нагрузка на шар </t>
  </si>
  <si>
    <t>1000/70</t>
  </si>
  <si>
    <t>1400/50</t>
  </si>
  <si>
    <t>1110/60</t>
  </si>
  <si>
    <t>Каталож номер ТСУ</t>
  </si>
  <si>
    <t>Smart-Connect Bosal</t>
  </si>
  <si>
    <t xml:space="preserve">Тюнинг </t>
  </si>
  <si>
    <t xml:space="preserve"> вырез бампера</t>
  </si>
  <si>
    <t xml:space="preserve">Нержавеющая пластина </t>
  </si>
  <si>
    <t>INFINITI</t>
  </si>
  <si>
    <t>0864</t>
  </si>
  <si>
    <t>1998-2009</t>
  </si>
  <si>
    <t>Lanos sedan                                                                                                                Daewoo Lanos sedan                                                                                                    Daewoo Sens sedan</t>
  </si>
  <si>
    <t>Lacetti sedan                                                                                                          Daewoo Nubira sedan</t>
  </si>
  <si>
    <t xml:space="preserve">Lacetti HB                                                                                                                     Daewoo Nubira HB </t>
  </si>
  <si>
    <t>Lacetti wagon                                                                                                              Daewoo Nubira wagon</t>
  </si>
  <si>
    <t>Nubira HB                                                                                       Chevrolet Lacetti HB</t>
  </si>
  <si>
    <t>2000/8-2007</t>
  </si>
  <si>
    <t>Elantra HB, sedan ( Tagaz )</t>
  </si>
  <si>
    <t>Tribute 4x4                                                                                                           Ford Maverick 4x4</t>
  </si>
  <si>
    <t>Outlander 4x4                                                                                                 Airtrek 4x4</t>
  </si>
  <si>
    <t>Octavia I HB                                                                                                        Octavia II Tour HB                                                                                                               Octavia I wagon</t>
  </si>
  <si>
    <t>Pajero Sport 4x4                                                                                                                     Montero Sport 4x4</t>
  </si>
  <si>
    <t xml:space="preserve">Land Cruiser 90 4x4 </t>
  </si>
  <si>
    <t xml:space="preserve">Land Cruiser 100 VX 4x4                                                                                                 </t>
  </si>
  <si>
    <t>LX 470 4x4                                                                                                                 Toyota Land Cruiser 100 VX 4x4</t>
  </si>
  <si>
    <t>LX 570 4x4                                                                                                      Toyota Land Cruiser 200 4x4</t>
  </si>
  <si>
    <t>Navara pick-up (бампер со ступенькой)</t>
  </si>
  <si>
    <t>GX 470 4x4                                                                                            Toyota Land Cruiser Prado (J120,125) 4x4</t>
  </si>
  <si>
    <t>VH0808</t>
  </si>
  <si>
    <t>RX 300 4x4, RX 330 4x4, RX 350 4x4 
Toyota Highlander</t>
  </si>
  <si>
    <t>RX 300 4x4
Toyota Highlander</t>
  </si>
  <si>
    <t>нет</t>
  </si>
  <si>
    <t>0873</t>
  </si>
  <si>
    <t xml:space="preserve">1400/50 </t>
  </si>
  <si>
    <t xml:space="preserve">1500/50 </t>
  </si>
  <si>
    <t xml:space="preserve">1500/75 </t>
  </si>
  <si>
    <t>Polo sedan</t>
  </si>
  <si>
    <t>GAZ Valday</t>
  </si>
  <si>
    <t>Sandero Stepway</t>
  </si>
  <si>
    <t>Amarok Pick-up с бампером</t>
  </si>
  <si>
    <t>2011-</t>
  </si>
  <si>
    <t>10/2010 -</t>
  </si>
  <si>
    <t>2012-</t>
  </si>
  <si>
    <t>Actyon New</t>
  </si>
  <si>
    <t>вырез по необход-ти</t>
  </si>
  <si>
    <t>RX 350</t>
  </si>
  <si>
    <t xml:space="preserve"> </t>
  </si>
  <si>
    <t>2004-2010</t>
  </si>
  <si>
    <t>2009-2011/10</t>
  </si>
  <si>
    <t>2/2011-</t>
  </si>
  <si>
    <t>0875</t>
  </si>
  <si>
    <t xml:space="preserve">1200/75 </t>
  </si>
  <si>
    <t xml:space="preserve">0826 </t>
  </si>
  <si>
    <t xml:space="preserve">0840 </t>
  </si>
  <si>
    <t xml:space="preserve">1000/50 </t>
  </si>
  <si>
    <t>2004/4- 2008                                                                                                                                                                                                                           2000-2004/4</t>
  </si>
  <si>
    <t>2000-2004/4                                                                                                                                                                                                                       2004/4-2008</t>
  </si>
  <si>
    <t>2005/2-2011</t>
  </si>
  <si>
    <t>1999-2006</t>
  </si>
  <si>
    <t>2000/3-2006</t>
  </si>
  <si>
    <t>2005-2011</t>
  </si>
  <si>
    <t>2000/3-2007</t>
  </si>
  <si>
    <t>2004/3-</t>
  </si>
  <si>
    <t>2003-2010</t>
  </si>
  <si>
    <t>2001-             2004-2011</t>
  </si>
  <si>
    <t>0155</t>
  </si>
  <si>
    <t>Solaris sedan, HB</t>
  </si>
  <si>
    <t>11/2010-</t>
  </si>
  <si>
    <t>Passat VII Sedan &amp; Variant</t>
  </si>
  <si>
    <t>2010-2011</t>
  </si>
  <si>
    <r>
      <t xml:space="preserve">Freelander II 4x4  </t>
    </r>
    <r>
      <rPr>
        <sz val="12"/>
        <color indexed="10"/>
        <rFont val="Arial"/>
        <family val="2"/>
      </rPr>
      <t>(без электрики)</t>
    </r>
  </si>
  <si>
    <r>
      <t xml:space="preserve">Outlander XL 7 4x4 </t>
    </r>
    <r>
      <rPr>
        <sz val="12"/>
        <color indexed="10"/>
        <rFont val="Arial"/>
        <family val="2"/>
      </rPr>
      <t>(без электрики)</t>
    </r>
  </si>
  <si>
    <r>
      <t xml:space="preserve">4007 </t>
    </r>
    <r>
      <rPr>
        <sz val="12"/>
        <color indexed="10"/>
        <rFont val="Arial"/>
        <family val="2"/>
      </rPr>
      <t>(без электрики)</t>
    </r>
  </si>
  <si>
    <r>
      <t xml:space="preserve">Cayenne 4x4                                                                                           Volkswagen Touareg 4x4    </t>
    </r>
    <r>
      <rPr>
        <sz val="12"/>
        <color indexed="10"/>
        <rFont val="Arial"/>
        <family val="2"/>
      </rPr>
      <t>(без электрики)</t>
    </r>
  </si>
  <si>
    <t>027-401</t>
  </si>
  <si>
    <t>1650/75</t>
  </si>
  <si>
    <t>AK6</t>
  </si>
  <si>
    <t>020-000</t>
  </si>
  <si>
    <t>Road Partner 4x4 ( Tagaz ) SUV</t>
  </si>
  <si>
    <t xml:space="preserve">1300/75 </t>
  </si>
  <si>
    <t>Fluence</t>
  </si>
  <si>
    <t>0876</t>
  </si>
  <si>
    <t>10/2008-
6/05-9/07
2004-2011</t>
  </si>
  <si>
    <t>2007-2011
2012- двиг 1.8л</t>
  </si>
  <si>
    <t>041-248</t>
  </si>
  <si>
    <t>E-set Audi Q7</t>
  </si>
  <si>
    <t>022-007</t>
  </si>
  <si>
    <t>Smart-Connect CC 7 контактный (Испания)</t>
  </si>
  <si>
    <t>1000/65</t>
  </si>
  <si>
    <t>2004-
2004-2005</t>
  </si>
  <si>
    <t>2004-2005
2004-</t>
  </si>
  <si>
    <t>2006-2012</t>
  </si>
  <si>
    <t>Rio II HB</t>
  </si>
  <si>
    <t>Juke (2WD)</t>
  </si>
  <si>
    <t xml:space="preserve">Transporter T-4 minibus, van </t>
  </si>
  <si>
    <t>0831</t>
  </si>
  <si>
    <t xml:space="preserve">GX 460
Land Cruiser Prado (150)  4x4 </t>
  </si>
  <si>
    <t>2008/3-2012</t>
  </si>
  <si>
    <t>Soul MPV</t>
  </si>
  <si>
    <t>1981-2012</t>
  </si>
  <si>
    <t>Range Rover Vogue</t>
  </si>
  <si>
    <t xml:space="preserve">2007-2011
2006-2011  </t>
  </si>
  <si>
    <t>2010/1-</t>
  </si>
  <si>
    <t>Sonata sedan</t>
  </si>
  <si>
    <t>Aveo sedan, ZAZ Vida</t>
  </si>
  <si>
    <t xml:space="preserve">Aveo HB, ZAZ Vida                                                                                                                          </t>
  </si>
  <si>
    <t>2006-2011</t>
  </si>
  <si>
    <t>2011/1-</t>
  </si>
  <si>
    <t>1180/75</t>
  </si>
  <si>
    <t xml:space="preserve">Bonus sedan </t>
  </si>
  <si>
    <t>2200/100</t>
  </si>
  <si>
    <t>Santa Fe</t>
  </si>
  <si>
    <t>7807</t>
  </si>
  <si>
    <t>022-007 для Peugeot 308</t>
  </si>
  <si>
    <t>022-007 необходим с 2007-</t>
  </si>
  <si>
    <t>2007-2012</t>
  </si>
  <si>
    <t>2006- 2011                     2007- 2011</t>
  </si>
  <si>
    <t>2010/1 -</t>
  </si>
  <si>
    <t>8138</t>
  </si>
  <si>
    <t>8877</t>
  </si>
  <si>
    <t>Chance HB, ZAZ Chance HB</t>
  </si>
  <si>
    <t>0869</t>
  </si>
  <si>
    <t>2011/06-</t>
  </si>
  <si>
    <t>Explorer</t>
  </si>
  <si>
    <t>8160</t>
  </si>
  <si>
    <t>Pajero IV 4x4 (с мая 2012)</t>
  </si>
  <si>
    <t xml:space="preserve"> 2012/1-...</t>
  </si>
  <si>
    <t>2011/03-</t>
  </si>
  <si>
    <t>8808</t>
  </si>
  <si>
    <t>8829</t>
  </si>
  <si>
    <t>1700/75</t>
  </si>
  <si>
    <t>8135</t>
  </si>
  <si>
    <t>2008/1-</t>
  </si>
  <si>
    <t>8879</t>
  </si>
  <si>
    <t>8878</t>
  </si>
  <si>
    <t>1800/100</t>
  </si>
  <si>
    <t>Sedici 4x4                                                                                                                          Suzuki SX 4 APV</t>
  </si>
  <si>
    <t>2006-                                                                                                                                                                                  2006-</t>
  </si>
  <si>
    <t>8837</t>
  </si>
  <si>
    <t>Elantra IV sedan</t>
  </si>
  <si>
    <t xml:space="preserve">Bonus/Chery Veri HB </t>
  </si>
  <si>
    <t>8834</t>
  </si>
  <si>
    <t>8876</t>
  </si>
  <si>
    <t>2009-2012</t>
  </si>
  <si>
    <t>2000-</t>
  </si>
  <si>
    <t>8880</t>
  </si>
  <si>
    <t>2007-11.2012</t>
  </si>
  <si>
    <t>8820</t>
  </si>
  <si>
    <t>8854</t>
  </si>
  <si>
    <t>1100/40</t>
  </si>
  <si>
    <t>8185</t>
  </si>
  <si>
    <t>8882</t>
  </si>
  <si>
    <t>AK41</t>
  </si>
  <si>
    <t>Bosal Power*</t>
  </si>
  <si>
    <t>2013-</t>
  </si>
  <si>
    <t>8881</t>
  </si>
  <si>
    <t>8845</t>
  </si>
  <si>
    <t>2003/6-2012</t>
  </si>
  <si>
    <t>2004/4-2012</t>
  </si>
  <si>
    <t>2004-2012</t>
  </si>
  <si>
    <t>2007-2010</t>
  </si>
  <si>
    <t>2003/4-2011</t>
  </si>
  <si>
    <t>1998-2011                                                                                                                                                                                                                   1998-2001/4                                                                                                                                                                                                                             1998-2001/4</t>
  </si>
  <si>
    <t>2008-2013</t>
  </si>
  <si>
    <t>2008-2012</t>
  </si>
  <si>
    <t>030-238</t>
  </si>
  <si>
    <t>E-set Opel/Chevrolet/Saab</t>
  </si>
  <si>
    <t>023-654</t>
  </si>
  <si>
    <t>Адаптер с 7-ми конт. розетки на 13-ти конт. вилку DIN</t>
  </si>
  <si>
    <t>024-374</t>
  </si>
  <si>
    <t>070-213</t>
  </si>
  <si>
    <t>Система загрузки велосипедов для 070-234</t>
  </si>
  <si>
    <t>8883</t>
  </si>
  <si>
    <t>8884</t>
  </si>
  <si>
    <t>8186</t>
  </si>
  <si>
    <t>022-007, 030-238</t>
  </si>
  <si>
    <t xml:space="preserve">Lada - Kalina 1119 HB                                                                        Lada - Kalina 2 2192 HB                                                      </t>
  </si>
  <si>
    <t>8181</t>
  </si>
  <si>
    <t>8826</t>
  </si>
  <si>
    <t xml:space="preserve">2002 - </t>
  </si>
  <si>
    <t>8885</t>
  </si>
  <si>
    <t>8220</t>
  </si>
  <si>
    <t>10/2012-</t>
  </si>
  <si>
    <t>8814</t>
  </si>
  <si>
    <t>1996-2011                                                                                                                                                                                                        2004/6-2012                                                                                                                                                                                                                     1998-2012</t>
  </si>
  <si>
    <t>8886</t>
  </si>
  <si>
    <t>FAW</t>
  </si>
  <si>
    <t>8187</t>
  </si>
  <si>
    <t>8491</t>
  </si>
  <si>
    <t xml:space="preserve">1200/75
</t>
  </si>
  <si>
    <t>2001-2008</t>
  </si>
  <si>
    <t>2009-2013</t>
  </si>
  <si>
    <t>2006/11-2013</t>
  </si>
  <si>
    <t>2007/10-2012</t>
  </si>
  <si>
    <r>
      <t>Uaz - 3159, 3160, 3162, 3163 Patriot 4x4</t>
    </r>
    <r>
      <rPr>
        <sz val="12"/>
        <color rgb="FFFF0000"/>
        <rFont val="Arial"/>
        <family val="2"/>
        <charset val="204"/>
      </rPr>
      <t xml:space="preserve"> (без электрики)</t>
    </r>
  </si>
  <si>
    <r>
      <t>Uaz-3159, 3160, 3962, Hunter</t>
    </r>
    <r>
      <rPr>
        <sz val="12"/>
        <color rgb="FFFF0000"/>
        <rFont val="Arial"/>
        <family val="2"/>
        <charset val="204"/>
      </rPr>
      <t xml:space="preserve"> (без электрики)</t>
    </r>
  </si>
  <si>
    <t>2006-2009</t>
  </si>
  <si>
    <t>Rio HB</t>
  </si>
  <si>
    <t>8828</t>
  </si>
  <si>
    <t>8173</t>
  </si>
  <si>
    <t>028-031</t>
  </si>
  <si>
    <t>028-041</t>
  </si>
  <si>
    <t>029-741</t>
  </si>
  <si>
    <t xml:space="preserve">2006 -                          2002- </t>
  </si>
  <si>
    <t>033-164</t>
  </si>
  <si>
    <t>1700/100</t>
  </si>
  <si>
    <t>034-141</t>
  </si>
  <si>
    <t>3500/150</t>
  </si>
  <si>
    <t>034-143</t>
  </si>
  <si>
    <t>034-962</t>
  </si>
  <si>
    <t>3000/150</t>
  </si>
  <si>
    <t>034-991</t>
  </si>
  <si>
    <t>2300/92</t>
  </si>
  <si>
    <t>036-251</t>
  </si>
  <si>
    <t>037-051</t>
  </si>
  <si>
    <t>037-171</t>
  </si>
  <si>
    <t>037-181</t>
  </si>
  <si>
    <t>037-351</t>
  </si>
  <si>
    <t xml:space="preserve">2011 -                          2007- </t>
  </si>
  <si>
    <t>2665/110</t>
  </si>
  <si>
    <r>
      <t xml:space="preserve">Kyron II 4x4 </t>
    </r>
    <r>
      <rPr>
        <sz val="12"/>
        <color rgb="FFFF0000"/>
        <rFont val="Arial"/>
        <family val="2"/>
        <charset val="204"/>
      </rPr>
      <t>(без электрики)</t>
    </r>
  </si>
  <si>
    <t>037-981</t>
  </si>
  <si>
    <t>038-041</t>
  </si>
  <si>
    <t>2012-               2012-             2013-                  2014-</t>
  </si>
  <si>
    <t>2000/80</t>
  </si>
  <si>
    <t>038-761</t>
  </si>
  <si>
    <t>1800/75</t>
  </si>
  <si>
    <t>038-861</t>
  </si>
  <si>
    <t>038-961</t>
  </si>
  <si>
    <r>
      <t xml:space="preserve">Kuga 4x4 </t>
    </r>
    <r>
      <rPr>
        <sz val="12"/>
        <color rgb="FFFF0000"/>
        <rFont val="Arial"/>
        <family val="2"/>
        <charset val="204"/>
      </rPr>
      <t>(без электрики)</t>
    </r>
  </si>
  <si>
    <t>2100/100</t>
  </si>
  <si>
    <t>044-323</t>
  </si>
  <si>
    <t>2300/130</t>
  </si>
  <si>
    <t>044-351</t>
  </si>
  <si>
    <t>3300/135</t>
  </si>
  <si>
    <t>044-421</t>
  </si>
  <si>
    <t>1600/60</t>
  </si>
  <si>
    <t>044-684</t>
  </si>
  <si>
    <t>2008-2011</t>
  </si>
  <si>
    <t>049-683</t>
  </si>
  <si>
    <r>
      <t>MERCEDES GLK APV</t>
    </r>
    <r>
      <rPr>
        <sz val="12"/>
        <color rgb="FFFF0000"/>
        <rFont val="Arial"/>
        <family val="2"/>
        <charset val="204"/>
      </rPr>
      <t xml:space="preserve">   (без электрики)</t>
    </r>
  </si>
  <si>
    <t>2100/80</t>
  </si>
  <si>
    <t>049-803</t>
  </si>
  <si>
    <t>050-043</t>
  </si>
  <si>
    <t>2635/120</t>
  </si>
  <si>
    <t>2980/100</t>
  </si>
  <si>
    <t>050-523</t>
  </si>
  <si>
    <t>051-053</t>
  </si>
  <si>
    <t>2013-           2003/6-2012</t>
  </si>
  <si>
    <t>050-323</t>
  </si>
  <si>
    <t>2002/8-2008   2002/8-2012</t>
  </si>
  <si>
    <t>2006-2013/06</t>
  </si>
  <si>
    <t>8867</t>
  </si>
  <si>
    <t>2014-</t>
  </si>
  <si>
    <t>CHANGAN</t>
  </si>
  <si>
    <t>8812</t>
  </si>
  <si>
    <t>2002/3-2009</t>
  </si>
  <si>
    <t>Оптовая</t>
  </si>
  <si>
    <t>1600/120</t>
  </si>
  <si>
    <t>1250/75</t>
  </si>
  <si>
    <t>HAIMA</t>
  </si>
  <si>
    <t>Uaz - Gargo / Patriot Pick-up</t>
  </si>
  <si>
    <t xml:space="preserve">2010-2014 2010- </t>
  </si>
  <si>
    <t>2010-2014 2010-</t>
  </si>
  <si>
    <t>Hover 3 4x4                                                 Hover 5 4x4</t>
  </si>
  <si>
    <t>2009-                   2011-</t>
  </si>
  <si>
    <t>Qashgai, Qashqai+2 minivan</t>
  </si>
  <si>
    <t>2008/12-       2003-2009     2009/06-</t>
  </si>
  <si>
    <t xml:space="preserve">Колпачок на шар ТСУ хромированный </t>
  </si>
  <si>
    <t>2007-             2013-</t>
  </si>
  <si>
    <t>2004/6-2012                 2005-2012  2013-</t>
  </si>
  <si>
    <t>2000/10-</t>
  </si>
  <si>
    <t>8212</t>
  </si>
  <si>
    <t>Lada - Kalina 1118 sedan
Lada - Kalina 1117 wagon  
Lada - Granta                                                                         Lada - Granta Liftback                                                             Lada – Kalina 2 2194 wagon</t>
  </si>
  <si>
    <t>2005-             2007- 
2012-         2014-       2013-</t>
  </si>
  <si>
    <t>2009/02-2014</t>
  </si>
  <si>
    <t xml:space="preserve">2006-2011                                                                                                                                                                                                                           2000/6-2005 </t>
  </si>
  <si>
    <t>044-321</t>
  </si>
  <si>
    <t>044-821</t>
  </si>
  <si>
    <r>
      <t xml:space="preserve">Santa Fe </t>
    </r>
    <r>
      <rPr>
        <sz val="12"/>
        <color rgb="FFFF0000"/>
        <rFont val="Arial"/>
        <family val="2"/>
        <charset val="204"/>
      </rPr>
      <t>(без электрики)</t>
    </r>
  </si>
  <si>
    <t>2700/110</t>
  </si>
  <si>
    <t>048-343</t>
  </si>
  <si>
    <t>AK40/41</t>
  </si>
  <si>
    <t>2339/90</t>
  </si>
  <si>
    <r>
      <t xml:space="preserve">Sportage 4x4 </t>
    </r>
    <r>
      <rPr>
        <sz val="12"/>
        <color rgb="FFFF0000"/>
        <rFont val="Arial"/>
        <family val="2"/>
        <charset val="204"/>
      </rPr>
      <t>(без электрики)</t>
    </r>
  </si>
  <si>
    <t>048-983</t>
  </si>
  <si>
    <t>AK 40/41</t>
  </si>
  <si>
    <t>2000/141</t>
  </si>
  <si>
    <r>
      <t xml:space="preserve">C-Crosser </t>
    </r>
    <r>
      <rPr>
        <sz val="12"/>
        <color indexed="10"/>
        <rFont val="Arial"/>
        <family val="2"/>
      </rPr>
      <t>(без электрики)</t>
    </r>
  </si>
  <si>
    <t>049-713</t>
  </si>
  <si>
    <t>044-191</t>
  </si>
  <si>
    <r>
      <t xml:space="preserve">X-5 4x4 (E70) </t>
    </r>
    <r>
      <rPr>
        <sz val="12"/>
        <color indexed="10"/>
        <rFont val="Arial"/>
        <family val="2"/>
      </rPr>
      <t>(без электрики)</t>
    </r>
  </si>
  <si>
    <t>050-473</t>
  </si>
  <si>
    <t>050-513</t>
  </si>
  <si>
    <r>
      <t xml:space="preserve">X-3 4x4 (F25) </t>
    </r>
    <r>
      <rPr>
        <sz val="12"/>
        <color indexed="10"/>
        <rFont val="Arial"/>
        <family val="2"/>
      </rPr>
      <t>(без электрики)</t>
    </r>
  </si>
  <si>
    <t>2400/100</t>
  </si>
  <si>
    <r>
      <t xml:space="preserve">M-Class (W164, W166) 4x4 </t>
    </r>
    <r>
      <rPr>
        <sz val="12"/>
        <color indexed="10"/>
        <rFont val="Arial"/>
        <family val="2"/>
      </rPr>
      <t>(без электрики)</t>
    </r>
  </si>
  <si>
    <t>050-533</t>
  </si>
  <si>
    <t>050-583</t>
  </si>
  <si>
    <t>051-273</t>
  </si>
  <si>
    <r>
      <rPr>
        <sz val="12"/>
        <rFont val="Arial"/>
        <family val="2"/>
        <charset val="204"/>
      </rPr>
      <t xml:space="preserve">Sorento 4x4 </t>
    </r>
    <r>
      <rPr>
        <sz val="12"/>
        <color rgb="FFFF0000"/>
        <rFont val="Arial"/>
        <family val="2"/>
        <charset val="204"/>
      </rPr>
      <t>(без электрики)</t>
    </r>
  </si>
  <si>
    <t>010-178</t>
  </si>
  <si>
    <t>022-004</t>
  </si>
  <si>
    <t>Розетка к ТСУ 7P (с эл. жгутом 1,9м) Голландия</t>
  </si>
  <si>
    <t>026-314</t>
  </si>
  <si>
    <t>Розетка к ТСУ 7P (без эл. жгута) металлическая (аллюминий)</t>
  </si>
  <si>
    <t>029-441</t>
  </si>
  <si>
    <r>
      <t xml:space="preserve"> IX35 4х4 </t>
    </r>
    <r>
      <rPr>
        <sz val="12"/>
        <color rgb="FFFF0000"/>
        <rFont val="Arial"/>
        <family val="2"/>
        <charset val="204"/>
      </rPr>
      <t>(без электрики)</t>
    </r>
  </si>
  <si>
    <t>038-841</t>
  </si>
  <si>
    <t>035-791</t>
  </si>
  <si>
    <t xml:space="preserve">2012-                  </t>
  </si>
  <si>
    <t>038-211</t>
  </si>
  <si>
    <t>038-991</t>
  </si>
  <si>
    <r>
      <t xml:space="preserve">Santa Fe       </t>
    </r>
    <r>
      <rPr>
        <sz val="12"/>
        <color rgb="FFFF0000"/>
        <rFont val="Arial"/>
        <family val="2"/>
        <charset val="204"/>
      </rPr>
      <t xml:space="preserve">(без электрики)                         </t>
    </r>
  </si>
  <si>
    <t>040-221</t>
  </si>
  <si>
    <t>040-231</t>
  </si>
  <si>
    <t>040-273</t>
  </si>
  <si>
    <t>042-631</t>
  </si>
  <si>
    <t>043-033</t>
  </si>
  <si>
    <t>2100/85</t>
  </si>
  <si>
    <t>043-252</t>
  </si>
  <si>
    <t>JAC</t>
  </si>
  <si>
    <t>Duster</t>
  </si>
  <si>
    <t>2007-2014       2014-</t>
  </si>
  <si>
    <t>Розетка к ТСУ 7P (с эл. жгутом 2,0м) с функцией отключения противотуманного фонаря на а/м Бельгия</t>
  </si>
  <si>
    <t xml:space="preserve"> 2005-2014                                                                                                                                                                                                                            2005/6-2014       </t>
  </si>
  <si>
    <t>2008-2014</t>
  </si>
  <si>
    <t>Hilux double cab (с отбойным брусом)</t>
  </si>
  <si>
    <t xml:space="preserve">2002-                          2006- </t>
  </si>
  <si>
    <t xml:space="preserve">2007-                          2011- </t>
  </si>
  <si>
    <t>Jetta sedan</t>
  </si>
  <si>
    <t>2006-1/2011</t>
  </si>
  <si>
    <r>
      <t xml:space="preserve">X-5 4x4 (E70, F15) </t>
    </r>
    <r>
      <rPr>
        <sz val="12"/>
        <color indexed="10"/>
        <rFont val="Arial"/>
        <family val="2"/>
      </rPr>
      <t>(без электрики)</t>
    </r>
  </si>
  <si>
    <t>2007-2013     2013-</t>
  </si>
  <si>
    <r>
      <t xml:space="preserve">Q7                                                                                              VW Touareg 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</si>
  <si>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Q3                                                                                         VW Tiguan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</si>
  <si>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A3 HB 3 Doors / HB 5 Doors                                                                           SEAT Leon HB                                                               SKODA Octavia III HB                                                                         VOLKSWAGEN Golf VII HB  </t>
    </r>
    <r>
      <rPr>
        <sz val="12"/>
        <color rgb="FFFF0000"/>
        <rFont val="Arial"/>
        <family val="2"/>
        <charset val="204"/>
      </rPr>
      <t>(без электрики)</t>
    </r>
  </si>
  <si>
    <t>2007-2013</t>
  </si>
  <si>
    <t>2013-                  2012-</t>
  </si>
  <si>
    <t>Orlando</t>
  </si>
  <si>
    <t>Fora - (Vortex Estina) sedan</t>
  </si>
  <si>
    <t xml:space="preserve">Jumper III                                                 Fiat Ducato IV, Peugeot Boxer III </t>
  </si>
  <si>
    <t>C4 HB I                                             Peugeot 308 HB, 09/07-08/08, 10/2008-
Peugeot 307 HB, 01-5/05, 6/05-9/07 (series II)</t>
  </si>
  <si>
    <t>2004-2011
2007-          2001-2007</t>
  </si>
  <si>
    <t>Ducato IV                                          Peugeot Boxer III, Citroen Jumper III</t>
  </si>
  <si>
    <t>Focus III sedan</t>
  </si>
  <si>
    <t>Focus III SW</t>
  </si>
  <si>
    <t>Focus II sedan</t>
  </si>
  <si>
    <t xml:space="preserve"> IX55 4х4</t>
  </si>
  <si>
    <t xml:space="preserve">KJ Tager 4x4 ( Tagaz ) </t>
  </si>
  <si>
    <t>Iran Khodro</t>
  </si>
  <si>
    <t>Samand sedan</t>
  </si>
  <si>
    <t>2006-2011              2006-</t>
  </si>
  <si>
    <r>
      <t xml:space="preserve">Cee'd Sporty Wagon </t>
    </r>
    <r>
      <rPr>
        <sz val="12"/>
        <color rgb="FFFF0000"/>
        <rFont val="Arial"/>
        <family val="2"/>
        <charset val="204"/>
      </rPr>
      <t xml:space="preserve"> (без электрики) </t>
    </r>
    <r>
      <rPr>
        <sz val="12"/>
        <rFont val="Arial"/>
        <family val="2"/>
      </rPr>
      <t xml:space="preserve">                      HYUNDAI i30 Crosswagon</t>
    </r>
  </si>
  <si>
    <t xml:space="preserve">Cee'd HB                                                                                                            Hyundai i30 HB </t>
  </si>
  <si>
    <t>Spectra sedan                                                                         Sephia II HB                                                                                                       Shuma sedan</t>
  </si>
  <si>
    <t>Ceed Sporty Wagon</t>
  </si>
  <si>
    <t>Sportage GRAND 4x4</t>
  </si>
  <si>
    <r>
      <t xml:space="preserve">Freelander II 4x4  </t>
    </r>
    <r>
      <rPr>
        <sz val="12"/>
        <color rgb="FFFF0000"/>
        <rFont val="Arial"/>
        <family val="2"/>
        <charset val="204"/>
      </rPr>
      <t>(без электрики)</t>
    </r>
  </si>
  <si>
    <t xml:space="preserve">GX 460 4x4
Land Cruiser Prado (150) 4x4  </t>
  </si>
  <si>
    <t>GX 460                                                                    Toyota Land Cruiser Prado (150) 4x4</t>
  </si>
  <si>
    <t xml:space="preserve">RX 300/RX330 </t>
  </si>
  <si>
    <t xml:space="preserve"> 2003-2007                                                                                                                                                                                                                               1998/3-2008</t>
  </si>
  <si>
    <t>Breez sedan</t>
  </si>
  <si>
    <t>Breez (2008 - ...)</t>
  </si>
  <si>
    <t xml:space="preserve">6 HB, sedan  </t>
  </si>
  <si>
    <r>
      <t>3 sedan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</si>
  <si>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6 HB / Sedan / Wagon  </t>
    </r>
    <r>
      <rPr>
        <sz val="12"/>
        <color rgb="FFFF0000"/>
        <rFont val="Arial"/>
        <family val="2"/>
        <charset val="204"/>
      </rPr>
      <t>(без электрики)</t>
    </r>
  </si>
  <si>
    <t xml:space="preserve">L200 </t>
  </si>
  <si>
    <t>ASX</t>
  </si>
  <si>
    <t xml:space="preserve"> 2007-</t>
  </si>
  <si>
    <r>
      <t xml:space="preserve">Pajero IV  APV 3/5 doors  </t>
    </r>
    <r>
      <rPr>
        <sz val="12"/>
        <color rgb="FFFF0000"/>
        <rFont val="Arial"/>
        <family val="2"/>
        <charset val="204"/>
      </rPr>
      <t>(без электрики)</t>
    </r>
  </si>
  <si>
    <t>X-Trail 4x4 (T31)</t>
  </si>
  <si>
    <t>X-Trail 4x4 (T30)</t>
  </si>
  <si>
    <r>
      <t xml:space="preserve">Astra H </t>
    </r>
    <r>
      <rPr>
        <b/>
        <sz val="12"/>
        <color rgb="FFFF0000"/>
        <rFont val="Arial"/>
        <family val="2"/>
        <charset val="204"/>
      </rPr>
      <t>(Family)</t>
    </r>
    <r>
      <rPr>
        <sz val="12"/>
        <rFont val="Arial"/>
        <family val="2"/>
      </rPr>
      <t xml:space="preserve"> Caravan </t>
    </r>
    <r>
      <rPr>
        <sz val="12"/>
        <color indexed="10"/>
        <rFont val="Arial"/>
        <family val="2"/>
      </rPr>
      <t>(без электрики)</t>
    </r>
  </si>
  <si>
    <r>
      <t xml:space="preserve">Mokka </t>
    </r>
    <r>
      <rPr>
        <sz val="12"/>
        <color rgb="FFFF0000"/>
        <rFont val="Arial"/>
        <family val="2"/>
        <charset val="204"/>
      </rPr>
      <t xml:space="preserve">(без электрики)                                             </t>
    </r>
    <r>
      <rPr>
        <sz val="12"/>
        <rFont val="Arial"/>
        <family val="2"/>
        <charset val="204"/>
      </rPr>
      <t>Chevrolet Trax</t>
    </r>
  </si>
  <si>
    <t>2010 -</t>
  </si>
  <si>
    <t>022-007, 030-239</t>
  </si>
  <si>
    <t xml:space="preserve">308 HB, 09/07-08/08, 10/2008-
307 HB, 01-5/05, 6/05-9/07 (series II)
Citroen C4 HB I 04-06, 07-11 </t>
  </si>
  <si>
    <t>Boxer III                                                    Fiat Ducato IV, Citroen Jumper III</t>
  </si>
  <si>
    <t xml:space="preserve">2010-                          2002- </t>
  </si>
  <si>
    <r>
      <t xml:space="preserve">Octavia II HB / Wagon 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</si>
  <si>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Octavia II  HB / Wagon  </t>
    </r>
    <r>
      <rPr>
        <sz val="12"/>
        <color rgb="FFFF0000"/>
        <rFont val="Arial"/>
        <family val="2"/>
        <charset val="204"/>
      </rPr>
      <t>(без электрики)</t>
    </r>
  </si>
  <si>
    <t>2004-06/2013</t>
  </si>
  <si>
    <r>
      <t xml:space="preserve">Octavia III HB  </t>
    </r>
    <r>
      <rPr>
        <sz val="12"/>
        <color rgb="FFFF0000"/>
        <rFont val="Arial"/>
        <family val="2"/>
        <charset val="204"/>
      </rPr>
      <t>(без электрики)</t>
    </r>
  </si>
  <si>
    <t>Rexton I 4x4
Kyron I 4x4</t>
  </si>
  <si>
    <t xml:space="preserve">Rexton II 4x4        </t>
  </si>
  <si>
    <r>
      <t xml:space="preserve">Golf VII HB  </t>
    </r>
    <r>
      <rPr>
        <sz val="12"/>
        <color rgb="FFFF0000"/>
        <rFont val="Arial"/>
        <family val="2"/>
        <charset val="204"/>
      </rPr>
      <t>(без электрики)</t>
    </r>
  </si>
  <si>
    <t xml:space="preserve">2014-               </t>
  </si>
  <si>
    <r>
      <t xml:space="preserve">Golf VII Variant   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</si>
  <si>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Transporter T-5 minibus, van, caravelle, multivan, syncro </t>
    </r>
    <r>
      <rPr>
        <sz val="12"/>
        <color rgb="FFFF0000"/>
        <rFont val="Arial"/>
        <family val="2"/>
        <charset val="204"/>
      </rPr>
      <t>(без электрики)</t>
    </r>
  </si>
  <si>
    <t>022-007               (с 2012г.в.)</t>
  </si>
  <si>
    <t>Баф 8001Е</t>
  </si>
  <si>
    <t>Шар тип Е (с гайкой М24)</t>
  </si>
  <si>
    <t>Адаптер с 13-ти контактной розетки на 7-ми контактную вилку (мини)</t>
  </si>
  <si>
    <t>Шар тип "F" (ISO/50)</t>
  </si>
  <si>
    <t>Шар тип "F" хром (ISO/50)</t>
  </si>
  <si>
    <t>Шар универсальный с серьгой (под кольцо и головку)</t>
  </si>
  <si>
    <t>Кронштейн розетки черный</t>
  </si>
  <si>
    <t>БАФ-0168</t>
  </si>
  <si>
    <t xml:space="preserve">Колпачок на шар ТСУ черный </t>
  </si>
  <si>
    <t>022-134</t>
  </si>
  <si>
    <t>Chance HB</t>
  </si>
  <si>
    <t xml:space="preserve">Vida                                                                                                                          </t>
  </si>
  <si>
    <t>SENS, Chance sedan</t>
  </si>
  <si>
    <t>1100/51</t>
  </si>
  <si>
    <t>2012-2014</t>
  </si>
  <si>
    <t>2500/120</t>
  </si>
  <si>
    <t>Terracan</t>
  </si>
  <si>
    <t>2001-2006</t>
  </si>
  <si>
    <r>
      <t xml:space="preserve">ООО "Бозал-Автофлекс"
Россия,Оренбургская обл., п. Новоорск, ул. Шоссейная 1,
тел./факс в Новоорске: (35363) 7-05-06, 7-05-07,7-05-08,  7-13-20              
тел. в Ногинске: (495) 799-13-46   
</t>
    </r>
    <r>
      <rPr>
        <b/>
        <sz val="12"/>
        <color rgb="FFFF0000"/>
        <rFont val="Calibri"/>
        <family val="2"/>
        <charset val="204"/>
        <scheme val="minor"/>
      </rPr>
      <t>E-mail: order.moscow@eur.bosal.com / order.novoorsk@eur.bosal.com</t>
    </r>
  </si>
  <si>
    <t>2005/9-2012</t>
  </si>
  <si>
    <t>040-211</t>
  </si>
  <si>
    <r>
      <rPr>
        <sz val="12"/>
        <rFont val="Arial"/>
        <family val="2"/>
        <charset val="204"/>
      </rPr>
      <t>3 HB</t>
    </r>
    <r>
      <rPr>
        <sz val="12"/>
        <color indexed="10"/>
        <rFont val="Arial"/>
        <family val="2"/>
      </rPr>
      <t xml:space="preserve"> (без электрики)</t>
    </r>
  </si>
  <si>
    <t>4/2013-</t>
  </si>
  <si>
    <t>1860/75</t>
  </si>
  <si>
    <t>8/2013-</t>
  </si>
  <si>
    <t>042-621</t>
  </si>
  <si>
    <t>1910/90</t>
  </si>
  <si>
    <t>603-562</t>
  </si>
  <si>
    <t>603-563</t>
  </si>
  <si>
    <t>Автобагажник алюминиевый (универсальный на рейлинги)</t>
  </si>
  <si>
    <t>75 кг</t>
  </si>
  <si>
    <t>051-123</t>
  </si>
  <si>
    <t>038-190</t>
  </si>
  <si>
    <t>AK10</t>
  </si>
  <si>
    <t>2000/88</t>
  </si>
  <si>
    <r>
      <t xml:space="preserve">ООО "Бозал-Автофлекс"
Россия,Оренбургская обл., п. Новоорск, ул. Шоссейная 1,
тел./факс в Новоорске: (35363) 7-05-06, 7-05-07,7-05-08,  7-13-20              
тел. в Ногинске: (495) 799-13-46   
</t>
    </r>
    <r>
      <rPr>
        <b/>
        <sz val="12"/>
        <color rgb="FFFF0000"/>
        <rFont val="Calibri"/>
        <family val="2"/>
        <charset val="204"/>
      </rPr>
      <t>E-mail: order.moscow@eur.bosal.com / order.novoorsk@eur.bosal.com</t>
    </r>
  </si>
  <si>
    <t>Sorento 4x4</t>
  </si>
  <si>
    <t xml:space="preserve">горизонт/верт нагрузка на шар </t>
  </si>
  <si>
    <t>050-573</t>
  </si>
  <si>
    <t>3508-A</t>
  </si>
  <si>
    <t>2133-A</t>
  </si>
  <si>
    <t>3550-A</t>
  </si>
  <si>
    <t>3551-A</t>
  </si>
  <si>
    <t>3552-A</t>
  </si>
  <si>
    <t>3554-A</t>
  </si>
  <si>
    <t>4753-A</t>
  </si>
  <si>
    <t>4751-A</t>
  </si>
  <si>
    <t>4710-A</t>
  </si>
  <si>
    <t>4750-A</t>
  </si>
  <si>
    <t>4752-A</t>
  </si>
  <si>
    <t>5257-A</t>
  </si>
  <si>
    <t>5265-A</t>
  </si>
  <si>
    <t>5264-A</t>
  </si>
  <si>
    <t>5254-A</t>
  </si>
  <si>
    <t>5252-A</t>
  </si>
  <si>
    <t>5270-A</t>
  </si>
  <si>
    <t>5268-A</t>
  </si>
  <si>
    <t>5259-A</t>
  </si>
  <si>
    <t>5262-A</t>
  </si>
  <si>
    <t>5266-A</t>
  </si>
  <si>
    <t>5253-A</t>
  </si>
  <si>
    <t>5250-A</t>
  </si>
  <si>
    <t>5224-A</t>
  </si>
  <si>
    <t>5251-A</t>
  </si>
  <si>
    <t>5206-A</t>
  </si>
  <si>
    <t>5261-A</t>
  </si>
  <si>
    <t>5255-A</t>
  </si>
  <si>
    <t>5267-A</t>
  </si>
  <si>
    <t>5269-FL</t>
  </si>
  <si>
    <t>4816-A</t>
  </si>
  <si>
    <t>7601-A</t>
  </si>
  <si>
    <t>7603-A</t>
  </si>
  <si>
    <t>7604-A</t>
  </si>
  <si>
    <t>7602-A</t>
  </si>
  <si>
    <t>7606-A</t>
  </si>
  <si>
    <t>3033-A</t>
  </si>
  <si>
    <t>7605-A</t>
  </si>
  <si>
    <t>7607-A</t>
  </si>
  <si>
    <t>9008-A</t>
  </si>
  <si>
    <t>2550-A</t>
  </si>
  <si>
    <t>2527-A</t>
  </si>
  <si>
    <t>2551-A</t>
  </si>
  <si>
    <t>2635-A</t>
  </si>
  <si>
    <t>2555-A</t>
  </si>
  <si>
    <t>2636-A</t>
  </si>
  <si>
    <t>4155-C</t>
  </si>
  <si>
    <t>2634-F</t>
  </si>
  <si>
    <t>5260-A</t>
  </si>
  <si>
    <t>5258-A</t>
  </si>
  <si>
    <t>5256-A</t>
  </si>
  <si>
    <t>9005-A</t>
  </si>
  <si>
    <t>9006-A</t>
  </si>
  <si>
    <t>2633-A</t>
  </si>
  <si>
    <t>2626-A</t>
  </si>
  <si>
    <t>2627-A</t>
  </si>
  <si>
    <t>2851-A</t>
  </si>
  <si>
    <t>3980-F</t>
  </si>
  <si>
    <t>3981-FL</t>
  </si>
  <si>
    <t>3963-A</t>
  </si>
  <si>
    <t>3971-A</t>
  </si>
  <si>
    <t>3945-A</t>
  </si>
  <si>
    <t>3936-A</t>
  </si>
  <si>
    <t>3949-A</t>
  </si>
  <si>
    <t>3948-A</t>
  </si>
  <si>
    <t>3967-A</t>
  </si>
  <si>
    <t>3968-A</t>
  </si>
  <si>
    <t>3973-A</t>
  </si>
  <si>
    <t>3929-A</t>
  </si>
  <si>
    <t>3957-A</t>
  </si>
  <si>
    <t>3961-A</t>
  </si>
  <si>
    <t>3976-A</t>
  </si>
  <si>
    <t>4521-A</t>
  </si>
  <si>
    <t>3950-A</t>
  </si>
  <si>
    <t>3966-A</t>
  </si>
  <si>
    <t>3956-F</t>
  </si>
  <si>
    <t>3958-F</t>
  </si>
  <si>
    <t>3978-F</t>
  </si>
  <si>
    <t>3969-F</t>
  </si>
  <si>
    <t>3960-A</t>
  </si>
  <si>
    <t>3964-A</t>
  </si>
  <si>
    <t>3979-A</t>
  </si>
  <si>
    <t>3977-F</t>
  </si>
  <si>
    <t>3970-F</t>
  </si>
  <si>
    <t>9004-A</t>
  </si>
  <si>
    <t>9007-F</t>
  </si>
  <si>
    <t>9003-A</t>
  </si>
  <si>
    <t>9001-A</t>
  </si>
  <si>
    <t>3303-A</t>
  </si>
  <si>
    <t>3307-A</t>
  </si>
  <si>
    <t>3317-A</t>
  </si>
  <si>
    <t>3315-A</t>
  </si>
  <si>
    <t>3316-A</t>
  </si>
  <si>
    <t>3302-A</t>
  </si>
  <si>
    <t>3313-F</t>
  </si>
  <si>
    <t>9009-A</t>
  </si>
  <si>
    <t>5505-A</t>
  </si>
  <si>
    <t>5518-A</t>
  </si>
  <si>
    <t>5531-A</t>
  </si>
  <si>
    <t>5533-A</t>
  </si>
  <si>
    <t>5506-A</t>
  </si>
  <si>
    <t>4221-A</t>
  </si>
  <si>
    <t>4238-A</t>
  </si>
  <si>
    <t>4242-A</t>
  </si>
  <si>
    <t>4259-A</t>
  </si>
  <si>
    <t>4223-A</t>
  </si>
  <si>
    <t>4241-A</t>
  </si>
  <si>
    <t>4250-A</t>
  </si>
  <si>
    <t>4256-A</t>
  </si>
  <si>
    <t>4247-A</t>
  </si>
  <si>
    <t>6737-A</t>
  </si>
  <si>
    <t>6751-A</t>
  </si>
  <si>
    <t>4253-A</t>
  </si>
  <si>
    <t>4246-A</t>
  </si>
  <si>
    <t>4244-A</t>
  </si>
  <si>
    <t>4243-A</t>
  </si>
  <si>
    <t>4245-A</t>
  </si>
  <si>
    <t>4237-A</t>
  </si>
  <si>
    <t>4251-V</t>
  </si>
  <si>
    <t>4227-A</t>
  </si>
  <si>
    <t>4258-A</t>
  </si>
  <si>
    <t>4254-A</t>
  </si>
  <si>
    <t>4230-A</t>
  </si>
  <si>
    <t>4255-A</t>
  </si>
  <si>
    <t>4225-F</t>
  </si>
  <si>
    <t>4235-A</t>
  </si>
  <si>
    <t>4239-A</t>
  </si>
  <si>
    <t>8010-A</t>
  </si>
  <si>
    <t>8011-A</t>
  </si>
  <si>
    <t>3401-A</t>
  </si>
  <si>
    <t>3318-A</t>
  </si>
  <si>
    <t>4810-A</t>
  </si>
  <si>
    <t>6735-A</t>
  </si>
  <si>
    <t>6738-A</t>
  </si>
  <si>
    <t>6736-A</t>
  </si>
  <si>
    <t>6732-A</t>
  </si>
  <si>
    <t>6744-A</t>
  </si>
  <si>
    <t>6753-A</t>
  </si>
  <si>
    <t>6733-A</t>
  </si>
  <si>
    <t>6747-A</t>
  </si>
  <si>
    <t>6749-A</t>
  </si>
  <si>
    <t>6743-A</t>
  </si>
  <si>
    <t>6748-A</t>
  </si>
  <si>
    <t>6719-A</t>
  </si>
  <si>
    <t>6719-F</t>
  </si>
  <si>
    <t>6734-A</t>
  </si>
  <si>
    <t>6740-F</t>
  </si>
  <si>
    <t>6741-A</t>
  </si>
  <si>
    <t>6745-A</t>
  </si>
  <si>
    <t>6754-A</t>
  </si>
  <si>
    <t>6731-A</t>
  </si>
  <si>
    <t>6730-A</t>
  </si>
  <si>
    <t>6746-A</t>
  </si>
  <si>
    <t>7351-A</t>
  </si>
  <si>
    <t>7353-A</t>
  </si>
  <si>
    <t>3063-ABP</t>
  </si>
  <si>
    <t>3071-AL</t>
  </si>
  <si>
    <t>3062-A</t>
  </si>
  <si>
    <t>3079-FL</t>
  </si>
  <si>
    <t>3090-FL</t>
  </si>
  <si>
    <t>3040-A</t>
  </si>
  <si>
    <t>3032-A</t>
  </si>
  <si>
    <t>3032-ABP</t>
  </si>
  <si>
    <t>3054-F</t>
  </si>
  <si>
    <t>3054-ABP</t>
  </si>
  <si>
    <t>3054-A</t>
  </si>
  <si>
    <t>3072-AL</t>
  </si>
  <si>
    <t>3091-FL</t>
  </si>
  <si>
    <t>3042-A</t>
  </si>
  <si>
    <t>3041-A</t>
  </si>
  <si>
    <t>3041-ABP</t>
  </si>
  <si>
    <t>3078-FL</t>
  </si>
  <si>
    <t>3073-A</t>
  </si>
  <si>
    <t>3308-A</t>
  </si>
  <si>
    <t>3310-A</t>
  </si>
  <si>
    <t>3319-A</t>
  </si>
  <si>
    <t>3309-A</t>
  </si>
  <si>
    <t>3314-A</t>
  </si>
  <si>
    <t>4529-A</t>
  </si>
  <si>
    <t>4522-A</t>
  </si>
  <si>
    <t>4528-A</t>
  </si>
  <si>
    <t>4530-A</t>
  </si>
  <si>
    <t>4526-A</t>
  </si>
  <si>
    <t>4527-A</t>
  </si>
  <si>
    <t>4531-A</t>
  </si>
  <si>
    <t>2251-A</t>
  </si>
  <si>
    <t>2216-H</t>
  </si>
  <si>
    <t>2252-A</t>
  </si>
  <si>
    <t>2250-F</t>
  </si>
  <si>
    <t>2254-F</t>
  </si>
  <si>
    <t>4159-A</t>
  </si>
  <si>
    <t>4153-F</t>
  </si>
  <si>
    <t>4164-F</t>
  </si>
  <si>
    <t>4151-A</t>
  </si>
  <si>
    <t>4154-A</t>
  </si>
  <si>
    <t>4163-A</t>
  </si>
  <si>
    <t>4152-A</t>
  </si>
  <si>
    <t>4162-A</t>
  </si>
  <si>
    <t>4160-A</t>
  </si>
  <si>
    <t>4125-F</t>
  </si>
  <si>
    <t>4124-A</t>
  </si>
  <si>
    <t>4126-F</t>
  </si>
  <si>
    <t>4156-A</t>
  </si>
  <si>
    <t>4157-ABP</t>
  </si>
  <si>
    <t>4331-A</t>
  </si>
  <si>
    <t>4353-A</t>
  </si>
  <si>
    <t>4373-A</t>
  </si>
  <si>
    <t>4370-A</t>
  </si>
  <si>
    <t>4372-A</t>
  </si>
  <si>
    <t>4351-A</t>
  </si>
  <si>
    <t>4365-A</t>
  </si>
  <si>
    <t>4360-F</t>
  </si>
  <si>
    <t>4355-A</t>
  </si>
  <si>
    <t>4366-A</t>
  </si>
  <si>
    <t>4350-A</t>
  </si>
  <si>
    <t>4323-A</t>
  </si>
  <si>
    <t>4368-V</t>
  </si>
  <si>
    <t>4369-F</t>
  </si>
  <si>
    <t>4334-A</t>
  </si>
  <si>
    <t>4357-A</t>
  </si>
  <si>
    <t>4374-A</t>
  </si>
  <si>
    <t>4362-A</t>
  </si>
  <si>
    <t>4337-A</t>
  </si>
  <si>
    <t>4371-A</t>
  </si>
  <si>
    <t>1150-A</t>
  </si>
  <si>
    <t>1165-A</t>
  </si>
  <si>
    <t>1171-A</t>
  </si>
  <si>
    <t>1178-A</t>
  </si>
  <si>
    <t>1184-A</t>
  </si>
  <si>
    <t>1181-A</t>
  </si>
  <si>
    <t>1174-A</t>
  </si>
  <si>
    <t>1173-A</t>
  </si>
  <si>
    <t>1177-A</t>
  </si>
  <si>
    <t>1176-A</t>
  </si>
  <si>
    <t>1180-A</t>
  </si>
  <si>
    <t>1183-A</t>
  </si>
  <si>
    <t>1175-A</t>
  </si>
  <si>
    <t>1182-A</t>
  </si>
  <si>
    <t>2557-A</t>
  </si>
  <si>
    <t>2143-A</t>
  </si>
  <si>
    <t>2731-A</t>
  </si>
  <si>
    <t>1429-A</t>
  </si>
  <si>
    <t>1428-A</t>
  </si>
  <si>
    <t>1426-A</t>
  </si>
  <si>
    <t>1421-A</t>
  </si>
  <si>
    <t>1418-A</t>
  </si>
  <si>
    <t>1432-A</t>
  </si>
  <si>
    <t>1425-A</t>
  </si>
  <si>
    <t>1420-A</t>
  </si>
  <si>
    <t>1422-A</t>
  </si>
  <si>
    <t>1427-A</t>
  </si>
  <si>
    <t>1911-A</t>
  </si>
  <si>
    <t>1922-A</t>
  </si>
  <si>
    <t>1909-A</t>
  </si>
  <si>
    <t>1918-A</t>
  </si>
  <si>
    <t>1923-A</t>
  </si>
  <si>
    <t>1925-A</t>
  </si>
  <si>
    <t>1920-A</t>
  </si>
  <si>
    <t>2137-A</t>
  </si>
  <si>
    <t>1921-A</t>
  </si>
  <si>
    <t>1924-A</t>
  </si>
  <si>
    <t>6450-A</t>
  </si>
  <si>
    <t>6455-A</t>
  </si>
  <si>
    <t>6453-F</t>
  </si>
  <si>
    <t>6452-A</t>
  </si>
  <si>
    <t>6405-A</t>
  </si>
  <si>
    <t>6451-A</t>
  </si>
  <si>
    <t>6456-A</t>
  </si>
  <si>
    <t>6301-A</t>
  </si>
  <si>
    <t>6303-A</t>
  </si>
  <si>
    <t>6311-A</t>
  </si>
  <si>
    <t>6302-A</t>
  </si>
  <si>
    <t>6309-A</t>
  </si>
  <si>
    <t>6308-A</t>
  </si>
  <si>
    <t>6310-A</t>
  </si>
  <si>
    <t>2850-F</t>
  </si>
  <si>
    <t>2850-A</t>
  </si>
  <si>
    <t>2850-ABP</t>
  </si>
  <si>
    <t>2817-A</t>
  </si>
  <si>
    <t>2852-A</t>
  </si>
  <si>
    <t>2856-A</t>
  </si>
  <si>
    <t>3059-A</t>
  </si>
  <si>
    <t>3067-A</t>
  </si>
  <si>
    <t>3077-A</t>
  </si>
  <si>
    <t>3066-A</t>
  </si>
  <si>
    <t>3068-A</t>
  </si>
  <si>
    <t>3056-A</t>
  </si>
  <si>
    <t>3034-A</t>
  </si>
  <si>
    <t>3035-A</t>
  </si>
  <si>
    <t>3087-A</t>
  </si>
  <si>
    <t>3036-A</t>
  </si>
  <si>
    <t>3086-FL</t>
  </si>
  <si>
    <t>3074-F</t>
  </si>
  <si>
    <t>3088-F</t>
  </si>
  <si>
    <t>3089-FL</t>
  </si>
  <si>
    <t>3065-F</t>
  </si>
  <si>
    <t>3022-F</t>
  </si>
  <si>
    <t>3060-F</t>
  </si>
  <si>
    <t>3083-AK41</t>
  </si>
  <si>
    <t>3082-AK41</t>
  </si>
  <si>
    <t>3043-A</t>
  </si>
  <si>
    <t>3084-A</t>
  </si>
  <si>
    <t>3085-A</t>
  </si>
  <si>
    <t>3069-A</t>
  </si>
  <si>
    <t>2192-F</t>
  </si>
  <si>
    <t>2150-A</t>
  </si>
  <si>
    <t>2189-A</t>
  </si>
  <si>
    <t>2187-A</t>
  </si>
  <si>
    <t>2194-A</t>
  </si>
  <si>
    <t>2116-A</t>
  </si>
  <si>
    <t>2185-A</t>
  </si>
  <si>
    <t>2195-A</t>
  </si>
  <si>
    <t>2193-A</t>
  </si>
  <si>
    <t>2181-A</t>
  </si>
  <si>
    <t>2186-A</t>
  </si>
  <si>
    <t>2119-A</t>
  </si>
  <si>
    <t>2182-F</t>
  </si>
  <si>
    <t>7011-A</t>
  </si>
  <si>
    <t>7010-A</t>
  </si>
  <si>
    <t>7801-F</t>
  </si>
  <si>
    <t>8001-E</t>
  </si>
  <si>
    <t>8002-E</t>
  </si>
  <si>
    <t>3806-A</t>
  </si>
  <si>
    <t>3806-H</t>
  </si>
  <si>
    <t>5601-F</t>
  </si>
  <si>
    <t>5602-F</t>
  </si>
  <si>
    <t>5605-F</t>
  </si>
  <si>
    <t>5606-A</t>
  </si>
  <si>
    <t>5607-A</t>
  </si>
  <si>
    <t>5608-A</t>
  </si>
  <si>
    <t>5611-A</t>
  </si>
  <si>
    <t>5612-F</t>
  </si>
  <si>
    <t>5613-F</t>
  </si>
  <si>
    <t>6501-A</t>
  </si>
  <si>
    <t>6501-H</t>
  </si>
  <si>
    <t>6506-A</t>
  </si>
  <si>
    <t>6505-A</t>
  </si>
  <si>
    <t>6508-A</t>
  </si>
  <si>
    <t>1203-A</t>
  </si>
  <si>
    <t>1203-H</t>
  </si>
  <si>
    <t>1205-A</t>
  </si>
  <si>
    <t>1206-A</t>
  </si>
  <si>
    <t>1206-H</t>
  </si>
  <si>
    <t>1209-H</t>
  </si>
  <si>
    <t>1216-A</t>
  </si>
  <si>
    <t>1216-H</t>
  </si>
  <si>
    <t>1218-A</t>
  </si>
  <si>
    <t>1229-E</t>
  </si>
  <si>
    <t>1219-A</t>
  </si>
  <si>
    <t>1219-H</t>
  </si>
  <si>
    <t>1226-H</t>
  </si>
  <si>
    <t>1226-A</t>
  </si>
  <si>
    <t>1228-A</t>
  </si>
  <si>
    <t>Техническая информация</t>
  </si>
  <si>
    <r>
      <rPr>
        <b/>
        <sz val="20"/>
        <rFont val="Wingdings"/>
        <charset val="2"/>
      </rPr>
      <t>"</t>
    </r>
    <r>
      <rPr>
        <b/>
        <sz val="20"/>
        <rFont val="Webdings"/>
        <family val="1"/>
        <charset val="2"/>
      </rPr>
      <t>@</t>
    </r>
  </si>
  <si>
    <t>022-007 с 2014г.</t>
  </si>
  <si>
    <t>2010-2014</t>
  </si>
  <si>
    <t>1999/8-</t>
  </si>
  <si>
    <t>1500/76</t>
  </si>
  <si>
    <t>1230-E</t>
  </si>
  <si>
    <t>1500/77</t>
  </si>
  <si>
    <t>1433-A</t>
  </si>
  <si>
    <r>
      <t xml:space="preserve">Jumper III                                                        Fiat Ducato IV, Peugeot Boxer III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</si>
  <si>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Ducato IV                                                Peugeot Boxer III, Citroen Jumper III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</si>
  <si>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Boxer III                                                          Fiat Ducato IV, Citroen Jumper III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</si>
  <si>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Leon HB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</si>
  <si>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Octavia III Wagon                                     Octavia III Scout      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</si>
  <si>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Tiguan                                                           Audi Q3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</si>
  <si>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Touareg                                                        Audi Q7  </t>
    </r>
    <r>
      <rPr>
        <sz val="12"/>
        <color rgb="FFFF0000"/>
        <rFont val="Arial"/>
        <family val="2"/>
        <charset val="204"/>
      </rPr>
      <t>(без электрики)</t>
    </r>
  </si>
  <si>
    <t>3982-F</t>
  </si>
  <si>
    <r>
      <t xml:space="preserve">R-Class (W251)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</si>
  <si>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Grand Cherokee                             Commander </t>
    </r>
    <r>
      <rPr>
        <sz val="12"/>
        <color rgb="FFFF0000"/>
        <rFont val="Arial"/>
        <family val="2"/>
        <charset val="204"/>
      </rPr>
      <t xml:space="preserve">(без электрики)   </t>
    </r>
    <r>
      <rPr>
        <sz val="12"/>
        <rFont val="Arial"/>
        <family val="2"/>
      </rPr>
      <t xml:space="preserve">                                       </t>
    </r>
  </si>
  <si>
    <r>
      <t xml:space="preserve">Grand Cherokee                            Commander </t>
    </r>
    <r>
      <rPr>
        <sz val="12"/>
        <color rgb="FFFF0000"/>
        <rFont val="Arial"/>
        <family val="2"/>
        <charset val="204"/>
      </rPr>
      <t xml:space="preserve">(без электрики)   </t>
    </r>
    <r>
      <rPr>
        <sz val="12"/>
        <rFont val="Arial"/>
        <family val="2"/>
      </rPr>
      <t xml:space="preserve">                                       </t>
    </r>
  </si>
  <si>
    <r>
      <t xml:space="preserve">i30 Crosswagon                                          KIA Cee'd Sporty Wagon 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</si>
  <si>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Trax                                                          Opel Mokka </t>
    </r>
    <r>
      <rPr>
        <sz val="12"/>
        <color rgb="FFFF0000"/>
        <rFont val="Arial"/>
        <family val="2"/>
        <charset val="204"/>
      </rPr>
      <t>(без электрики)</t>
    </r>
  </si>
  <si>
    <t>BRILLIANCE</t>
  </si>
  <si>
    <t>4375-A</t>
  </si>
  <si>
    <t>2005/4-2014</t>
  </si>
  <si>
    <t>Pathfinder (R51)</t>
  </si>
  <si>
    <t>4376-A</t>
  </si>
  <si>
    <t>017-072</t>
  </si>
  <si>
    <r>
      <t xml:space="preserve">Pathfinder </t>
    </r>
    <r>
      <rPr>
        <sz val="12"/>
        <color rgb="FFFF0000"/>
        <rFont val="Arial"/>
        <family val="2"/>
        <charset val="204"/>
      </rPr>
      <t>(без электрики)</t>
    </r>
  </si>
  <si>
    <t>2005-2014</t>
  </si>
  <si>
    <t>3000/120</t>
  </si>
  <si>
    <t>CR-V</t>
  </si>
  <si>
    <t>049-483</t>
  </si>
  <si>
    <t>1232-A</t>
  </si>
  <si>
    <t>Нов. 2015</t>
  </si>
  <si>
    <t>3092-F</t>
  </si>
  <si>
    <t>048-043</t>
  </si>
  <si>
    <r>
      <t xml:space="preserve">X-6 (E71) </t>
    </r>
    <r>
      <rPr>
        <sz val="12"/>
        <color indexed="10"/>
        <rFont val="Arial"/>
        <family val="2"/>
      </rPr>
      <t>(без электрики)</t>
    </r>
  </si>
  <si>
    <t>3055/140</t>
  </si>
  <si>
    <t>022-007               (с 2010г.в.)</t>
  </si>
  <si>
    <t>1231-A</t>
  </si>
  <si>
    <t>1207-AN</t>
  </si>
  <si>
    <t>1994-2015       2015-</t>
  </si>
  <si>
    <t>6509-E</t>
  </si>
  <si>
    <t>0888</t>
  </si>
  <si>
    <t>1434-F</t>
  </si>
  <si>
    <t>7608-A</t>
  </si>
  <si>
    <t>2009-2015  2015-</t>
  </si>
  <si>
    <t>1977-              1993-            1995-      2015-</t>
  </si>
  <si>
    <t>2007/7-2015</t>
  </si>
  <si>
    <t>2015-</t>
  </si>
  <si>
    <t>4377-A</t>
  </si>
  <si>
    <t>Нов.2015</t>
  </si>
  <si>
    <t>8852</t>
  </si>
  <si>
    <t>6755-A</t>
  </si>
  <si>
    <t>8856</t>
  </si>
  <si>
    <r>
      <t xml:space="preserve">Jumper III                                                        Fiat Ducato IV, Peugeot Boxer III </t>
    </r>
    <r>
      <rPr>
        <sz val="12"/>
        <color rgb="FFFF0000"/>
        <rFont val="Arial"/>
        <family val="2"/>
        <charset val="204"/>
      </rPr>
      <t>PICK-UP</t>
    </r>
    <r>
      <rPr>
        <sz val="12"/>
        <rFont val="Arial"/>
        <family val="2"/>
        <charset val="204"/>
      </rPr>
      <t xml:space="preserve">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</si>
  <si>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Jumper III                                                        Fiat Ducato IV, Peugeot Boxer III </t>
    </r>
    <r>
      <rPr>
        <sz val="12"/>
        <color rgb="FFFF0000"/>
        <rFont val="Arial"/>
        <family val="2"/>
        <charset val="204"/>
      </rPr>
      <t>PICK-UP (без электрики)</t>
    </r>
  </si>
  <si>
    <t>2007- 2013               2007- 2013       1996/1-             1999-                                           2000-2007</t>
  </si>
  <si>
    <r>
      <t xml:space="preserve">Gazelle Next (бортовая)    </t>
    </r>
    <r>
      <rPr>
        <sz val="12"/>
        <color rgb="FFFF0000"/>
        <rFont val="Arial"/>
        <family val="2"/>
        <charset val="204"/>
      </rPr>
      <t>(без электрики)</t>
    </r>
  </si>
  <si>
    <t>GC 6</t>
  </si>
  <si>
    <t>4165-E</t>
  </si>
  <si>
    <t>6756-A</t>
  </si>
  <si>
    <t>2011-2015  2015-</t>
  </si>
  <si>
    <t xml:space="preserve">2007/3-2013        </t>
  </si>
  <si>
    <t>Розетка к ТСУ EDV 7P без электрожгута с пыльником и разветвителем</t>
  </si>
  <si>
    <t>Розетка к ТСУ EDV 7P без электрожгута с пыльником и разветвителем зеркальная</t>
  </si>
  <si>
    <t>037-881</t>
  </si>
  <si>
    <r>
      <t xml:space="preserve"> i40 sedan, wagon  </t>
    </r>
    <r>
      <rPr>
        <sz val="12"/>
        <color rgb="FFFF0000"/>
        <rFont val="Arial"/>
        <family val="2"/>
        <charset val="204"/>
      </rPr>
      <t>(без электрики)</t>
    </r>
  </si>
  <si>
    <t>1800/80</t>
  </si>
  <si>
    <t>000-214</t>
  </si>
  <si>
    <t>Шар тип K</t>
  </si>
  <si>
    <t>049-443</t>
  </si>
  <si>
    <r>
      <t xml:space="preserve">Outlander  </t>
    </r>
    <r>
      <rPr>
        <sz val="12"/>
        <color indexed="10"/>
        <rFont val="Arial"/>
        <family val="2"/>
      </rPr>
      <t>(без электрики)</t>
    </r>
  </si>
  <si>
    <t>2000/140</t>
  </si>
  <si>
    <t>050-613</t>
  </si>
  <si>
    <r>
      <t xml:space="preserve">Qashgai </t>
    </r>
    <r>
      <rPr>
        <sz val="12"/>
        <color rgb="FFFF0000"/>
        <rFont val="Arial"/>
        <family val="2"/>
        <charset val="204"/>
      </rPr>
      <t xml:space="preserve"> (без электрики)</t>
    </r>
  </si>
  <si>
    <r>
      <t xml:space="preserve">Qashgai  </t>
    </r>
    <r>
      <rPr>
        <sz val="12"/>
        <color rgb="FFFF0000"/>
        <rFont val="Arial"/>
        <family val="2"/>
        <charset val="204"/>
      </rPr>
      <t>(без электрики)</t>
    </r>
  </si>
  <si>
    <t>1233-A</t>
  </si>
  <si>
    <t>2000-2014</t>
  </si>
  <si>
    <t>3984-F</t>
  </si>
  <si>
    <t>Transit со ступенькой</t>
  </si>
  <si>
    <t>Datsun</t>
  </si>
  <si>
    <r>
      <t xml:space="preserve">On-Do </t>
    </r>
    <r>
      <rPr>
        <sz val="12"/>
        <color rgb="FFFF0000"/>
        <rFont val="Arial"/>
        <family val="2"/>
        <charset val="204"/>
      </rPr>
      <t>(без электрики)</t>
    </r>
  </si>
  <si>
    <t>Mi-Do</t>
  </si>
  <si>
    <t>4158-FBP</t>
  </si>
  <si>
    <t>2012-2015   2015-</t>
  </si>
  <si>
    <t>On-Do</t>
  </si>
  <si>
    <t>1207-HN</t>
  </si>
  <si>
    <t>1977-              1993-           1995-      2015-</t>
  </si>
  <si>
    <t xml:space="preserve"> 2012-      2014-       2005-       2007-      2013-</t>
  </si>
  <si>
    <t>2007/2-2014</t>
  </si>
  <si>
    <t>8865</t>
  </si>
  <si>
    <t>4378-A</t>
  </si>
  <si>
    <t>8840</t>
  </si>
  <si>
    <t>4260-A</t>
  </si>
  <si>
    <t>2012-2015</t>
  </si>
  <si>
    <t>3 HB 2009-2013,
3 sedan 03-08,
Ford Focus III HB 2011-…</t>
  </si>
  <si>
    <t>2009-2013   2003-2008    2011-</t>
  </si>
  <si>
    <t>Focus III HB 2011-…
Focus II HB 2004-2010
C-Max 2004-                                                                Grand C-Max 2011-                                                  
Mazda 3 HB 2009-2013
Mazda 3 sedan 03-09</t>
  </si>
  <si>
    <t>2008-2015</t>
  </si>
  <si>
    <t>2007/3-2015</t>
  </si>
  <si>
    <t>3985-A</t>
  </si>
  <si>
    <t>2197-A</t>
  </si>
  <si>
    <t>8863</t>
  </si>
  <si>
    <t>6757-A</t>
  </si>
  <si>
    <t>8300</t>
  </si>
  <si>
    <t>7354-A</t>
  </si>
  <si>
    <t>2200/75</t>
  </si>
  <si>
    <t>2010-2015   2015-</t>
  </si>
  <si>
    <t>C4 Aircross</t>
  </si>
  <si>
    <t>2009/11-2015</t>
  </si>
  <si>
    <r>
      <t xml:space="preserve">III. Прайс-лист на автомобильные багажники . </t>
    </r>
    <r>
      <rPr>
        <b/>
        <sz val="12"/>
        <color rgb="FFFF0000"/>
        <rFont val="Arial"/>
        <family val="2"/>
        <charset val="204"/>
      </rPr>
      <t>Действителен с 01.10.2015</t>
    </r>
    <r>
      <rPr>
        <b/>
        <sz val="12"/>
        <rFont val="Arial"/>
        <family val="2"/>
      </rPr>
      <t>*</t>
    </r>
  </si>
  <si>
    <t>Cerato  sedan  дв. 1,6L</t>
  </si>
  <si>
    <t>2003-2015   2016-</t>
  </si>
  <si>
    <t>Transporter T-5 minibus, van, caravelle, multivan                                         Transporter T-6 multivan</t>
  </si>
  <si>
    <t>2008-2015                      2010-2015</t>
  </si>
  <si>
    <t>8844</t>
  </si>
  <si>
    <t>3320-A</t>
  </si>
  <si>
    <t xml:space="preserve">Niva 2123 4x4 </t>
  </si>
  <si>
    <t>1223-A</t>
  </si>
  <si>
    <t>3555-AK6</t>
  </si>
  <si>
    <t>2013-2015</t>
  </si>
  <si>
    <t>022-008</t>
  </si>
  <si>
    <t>99-4285-4416</t>
  </si>
  <si>
    <t>6312-A</t>
  </si>
  <si>
    <t>8159</t>
  </si>
  <si>
    <t>2198-A</t>
  </si>
  <si>
    <t>2233/100</t>
  </si>
  <si>
    <t>3093-F</t>
  </si>
  <si>
    <t>2950/120</t>
  </si>
  <si>
    <t>1997-2010</t>
  </si>
  <si>
    <t>2014-2015</t>
  </si>
  <si>
    <t>2007-2014, 2015-</t>
  </si>
  <si>
    <t>Названия строк</t>
  </si>
  <si>
    <t>(пусто)</t>
  </si>
  <si>
    <t>Общий итог</t>
  </si>
  <si>
    <t>Значения</t>
  </si>
  <si>
    <t>Минимальная оптовая цена</t>
  </si>
  <si>
    <t>Оптовая цена</t>
  </si>
  <si>
    <t>Минимальная розничная цена</t>
  </si>
  <si>
    <t>Розничная цена</t>
  </si>
  <si>
    <t>2012-                  2013-                  2012-2015</t>
  </si>
  <si>
    <t xml:space="preserve"> Минимальная оптовая цена</t>
  </si>
  <si>
    <t xml:space="preserve"> Минимальная розничная цена</t>
  </si>
  <si>
    <t xml:space="preserve">Сцепной шар типа "А" </t>
  </si>
  <si>
    <t>3986-A</t>
  </si>
  <si>
    <t>Fiesta HB, sedan</t>
  </si>
  <si>
    <t>3983-A</t>
  </si>
  <si>
    <t>2012-          2015-</t>
  </si>
  <si>
    <t>2013-                   2015-</t>
  </si>
  <si>
    <t xml:space="preserve">2121 4x4                                                                                        21213, 21214 4x4                                                                                          2131, 2129 4x4 </t>
  </si>
  <si>
    <t>2121 4x4                                                                                           21213, 21214 4x4                                                                                           2131, 2129 4x5</t>
  </si>
  <si>
    <r>
      <t xml:space="preserve">Urban 4x4   </t>
    </r>
    <r>
      <rPr>
        <sz val="12"/>
        <color rgb="FFFF0000"/>
        <rFont val="Arial"/>
        <family val="2"/>
        <charset val="204"/>
      </rPr>
      <t>(без электрики)</t>
    </r>
  </si>
  <si>
    <t>1234-A</t>
  </si>
  <si>
    <t>Lada</t>
  </si>
  <si>
    <t>2105, 21051, 21053, 2107, 21071, 21073 sedan</t>
  </si>
  <si>
    <t>2104, 21043, 21044, 21047 wagon</t>
  </si>
  <si>
    <t xml:space="preserve"> Samara 2108 coupe                                                                                 Samara 2109 sedan                                                                                                            Samara 21099 HB                                                     </t>
  </si>
  <si>
    <t xml:space="preserve">2110 sedan                                                                                          2111 wagon                                                                                                 2112 HB                                                                                                             Priora 21703 sedan </t>
  </si>
  <si>
    <t xml:space="preserve">2113 coupe                                                                                             2114 HB                                                                                                         2115 sedan  </t>
  </si>
  <si>
    <t xml:space="preserve">2113 coupe                                                                                                       2114 HB                                                                                                                        2115 sedan  </t>
  </si>
  <si>
    <r>
      <t xml:space="preserve">Kalina Сross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</si>
  <si>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Granta                                                                                          Granta Liftback                                                                                                                Kalina 1118 sedan             
Kalina 1117 wagon                                                                             Kalina 2 2194 wagon   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</si>
  <si>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Priora Sedan, HB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</si>
  <si>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Largus                                                                                                    Largus cross </t>
    </r>
    <r>
      <rPr>
        <sz val="12"/>
        <color rgb="FFFF0000"/>
        <rFont val="Arial"/>
        <family val="2"/>
        <charset val="204"/>
      </rPr>
      <t>(без электрики)</t>
    </r>
  </si>
  <si>
    <t>Vesta sedan (без электрики</t>
  </si>
  <si>
    <t>Новинка 2016г</t>
  </si>
  <si>
    <t>8188</t>
  </si>
  <si>
    <t>Адаптер с 7-ми контактной вилки на 13-ти контактную розетку</t>
  </si>
  <si>
    <t>4261-A</t>
  </si>
  <si>
    <t>1600/100</t>
  </si>
  <si>
    <t>Нов. 2016</t>
  </si>
  <si>
    <t xml:space="preserve">Tucson                                                                            </t>
  </si>
  <si>
    <t>8900</t>
  </si>
  <si>
    <t>4532-A</t>
  </si>
  <si>
    <t>8901</t>
  </si>
  <si>
    <t>БАФ-0179</t>
  </si>
  <si>
    <t>Розетка к ТСУ EDV 7P с электрожгутом 1,9 м в пакете (улучшенная)</t>
  </si>
  <si>
    <t>1235-A</t>
  </si>
  <si>
    <t>X-Ray (без электрики)</t>
  </si>
  <si>
    <t>2016-</t>
  </si>
  <si>
    <t>8889</t>
  </si>
  <si>
    <t>900/70</t>
  </si>
  <si>
    <t>900/75</t>
  </si>
  <si>
    <t>3094-A</t>
  </si>
  <si>
    <t>3095-A</t>
  </si>
  <si>
    <t>8890</t>
  </si>
  <si>
    <t>8804</t>
  </si>
  <si>
    <t>3000/100</t>
  </si>
  <si>
    <t>2151-A</t>
  </si>
  <si>
    <t>2152-E</t>
  </si>
  <si>
    <t>8891</t>
  </si>
  <si>
    <t>по необходим</t>
  </si>
  <si>
    <t>LX (без электрики)</t>
  </si>
  <si>
    <t xml:space="preserve">GX (без электрики)      </t>
  </si>
  <si>
    <t>3096-ABP</t>
  </si>
  <si>
    <t>Gazelle - 3302 van, 33023 van (фермер с двойной кабиной), не подходит для удлиненной базы</t>
  </si>
  <si>
    <t>3041-VBP</t>
  </si>
  <si>
    <t>3040-ABP</t>
  </si>
  <si>
    <t>3040-VBP</t>
  </si>
  <si>
    <t>1999-2014</t>
  </si>
  <si>
    <t>024-698</t>
  </si>
  <si>
    <t>Универсальный адаптер прицепа (для ТСУ)</t>
  </si>
  <si>
    <r>
      <t xml:space="preserve">   II. Прайс-лист на тягово-сцепные устройства произведенные в Венгрии для импортных моделей автомобилей. </t>
    </r>
    <r>
      <rPr>
        <b/>
        <sz val="14"/>
        <color rgb="FFFF0000"/>
        <rFont val="Arial"/>
        <family val="2"/>
        <charset val="204"/>
      </rPr>
      <t>Действителен с 01.10.2015*</t>
    </r>
  </si>
  <si>
    <t xml:space="preserve">   </t>
  </si>
  <si>
    <t xml:space="preserve">    Марка и модель автомобиля</t>
  </si>
  <si>
    <t xml:space="preserve"> Оптовая</t>
  </si>
  <si>
    <t xml:space="preserve">Минимальная оптовая цена </t>
  </si>
  <si>
    <t xml:space="preserve"> Рекомендованная розничная цена</t>
  </si>
  <si>
    <t>4851-A</t>
  </si>
  <si>
    <t>3987-A</t>
  </si>
  <si>
    <t>1900/100</t>
  </si>
  <si>
    <t>2015/11-</t>
  </si>
  <si>
    <t>3556-AK41</t>
  </si>
  <si>
    <t>0100.3890.049</t>
  </si>
  <si>
    <t>6758-A</t>
  </si>
  <si>
    <t>Kia Sportage</t>
  </si>
  <si>
    <t>1900/120</t>
  </si>
  <si>
    <t>3097-A</t>
  </si>
  <si>
    <t>8825</t>
  </si>
  <si>
    <t>2255-AK41</t>
  </si>
  <si>
    <t>1926-AK41</t>
  </si>
  <si>
    <t>0120.1610.049</t>
  </si>
  <si>
    <t>2153-AK41</t>
  </si>
  <si>
    <t>2100.0515.832</t>
  </si>
  <si>
    <t>2230/100</t>
  </si>
  <si>
    <t>4754-A</t>
  </si>
  <si>
    <t>8892</t>
  </si>
  <si>
    <t>9011-F</t>
  </si>
  <si>
    <t>2013-2016/4</t>
  </si>
  <si>
    <t>2007/3-</t>
  </si>
  <si>
    <t>2014-2016/4</t>
  </si>
  <si>
    <t>5614-F</t>
  </si>
  <si>
    <r>
      <t xml:space="preserve">Gazelle Next (ЦМФ)    </t>
    </r>
    <r>
      <rPr>
        <sz val="12"/>
        <color rgb="FFFF0000"/>
        <rFont val="Arial"/>
        <family val="2"/>
        <charset val="204"/>
      </rPr>
      <t>(без электрики)</t>
    </r>
  </si>
  <si>
    <t xml:space="preserve">2002- </t>
  </si>
  <si>
    <t xml:space="preserve">2002-  </t>
  </si>
  <si>
    <t xml:space="preserve">2002/12-      </t>
  </si>
  <si>
    <t xml:space="preserve">Symbol sedan                                                                                                                                                                                                               Thalia sedan </t>
  </si>
  <si>
    <t xml:space="preserve">Clio II </t>
  </si>
  <si>
    <t xml:space="preserve">Galaxy minivan    </t>
  </si>
  <si>
    <t>2003-2009     2009/06-</t>
  </si>
  <si>
    <t xml:space="preserve">022-007 </t>
  </si>
  <si>
    <t>Alhambra minivan</t>
  </si>
  <si>
    <t xml:space="preserve">Superb I sedan </t>
  </si>
  <si>
    <t xml:space="preserve"> 2002-2008    </t>
  </si>
  <si>
    <t>2011-          2016-</t>
  </si>
  <si>
    <t xml:space="preserve">2014-  </t>
  </si>
  <si>
    <t xml:space="preserve">SX 4 HB       </t>
  </si>
  <si>
    <t xml:space="preserve">2006-2014          </t>
  </si>
  <si>
    <t>Highlander</t>
  </si>
  <si>
    <t xml:space="preserve">Land Cruiser 100 VX 4x4          </t>
  </si>
  <si>
    <t xml:space="preserve">1998/3-2007                            </t>
  </si>
  <si>
    <t xml:space="preserve">Land Cruiser 100 VX 4x4     </t>
  </si>
  <si>
    <t xml:space="preserve">Land Cruiser 200 4x4                         </t>
  </si>
  <si>
    <t xml:space="preserve">Land Cruiser 200 4x4                                                                    </t>
  </si>
  <si>
    <t xml:space="preserve">1998/3-2007                                            </t>
  </si>
  <si>
    <t>Land Cruiser 200 4x4</t>
  </si>
  <si>
    <t xml:space="preserve">Land Cruiser 200 4x4   </t>
  </si>
  <si>
    <t>3010-E</t>
  </si>
  <si>
    <t xml:space="preserve">Land Cruiser Prado J120, J125 4x4   </t>
  </si>
  <si>
    <t xml:space="preserve">Land Cruiser Prado J120, J125 4x4    </t>
  </si>
  <si>
    <t xml:space="preserve">Land Cruiser Prado J150/120  4x4       </t>
  </si>
  <si>
    <t xml:space="preserve">2002-    </t>
  </si>
  <si>
    <t>3011-E</t>
  </si>
  <si>
    <t xml:space="preserve">RAV 4 4x4   </t>
  </si>
  <si>
    <t xml:space="preserve">2000/6-2005 </t>
  </si>
  <si>
    <t xml:space="preserve">2006-                       </t>
  </si>
  <si>
    <t>Bora sedan, wagon</t>
  </si>
  <si>
    <t xml:space="preserve">1998-2005   </t>
  </si>
  <si>
    <t>Golf IV HB, wagon</t>
  </si>
  <si>
    <t xml:space="preserve">1997/10-2003/10 </t>
  </si>
  <si>
    <t xml:space="preserve">Passat B8 sedan (без электрики)  </t>
  </si>
  <si>
    <t xml:space="preserve">Passat V \ V+ sedan                                                                                                                                                                                                     Passat V \ V+ wagon                    </t>
  </si>
  <si>
    <t xml:space="preserve"> 2000/10-2005                                                                                                                                                                                                     1997/5-2005                                                                                                                                                                                                                       </t>
  </si>
  <si>
    <t xml:space="preserve">Sharan minivan </t>
  </si>
  <si>
    <t xml:space="preserve">Tiguan 4x4 </t>
  </si>
  <si>
    <t xml:space="preserve">2007-        </t>
  </si>
  <si>
    <t xml:space="preserve">2002-         </t>
  </si>
  <si>
    <t>Touareg 4x4</t>
  </si>
  <si>
    <t xml:space="preserve">2011-  </t>
  </si>
  <si>
    <t xml:space="preserve"> Q3             </t>
  </si>
  <si>
    <t>A3 HB,</t>
  </si>
  <si>
    <t xml:space="preserve">1996-2003/6  </t>
  </si>
  <si>
    <t>2006-2015</t>
  </si>
  <si>
    <t>070-531</t>
  </si>
  <si>
    <t>070-532</t>
  </si>
  <si>
    <t>070-533</t>
  </si>
  <si>
    <t xml:space="preserve">Держатель на 2 велосипеда (Tourer) </t>
  </si>
  <si>
    <t xml:space="preserve">Держатель на 2 велосипеда (Traveller II ) </t>
  </si>
  <si>
    <t xml:space="preserve">Держатель на 3 велосипеда (Traveller III ) </t>
  </si>
  <si>
    <r>
      <t xml:space="preserve">I. Прайс-лист на тягово-сцепные устройства для отечественных моделей автомобилей. </t>
    </r>
    <r>
      <rPr>
        <b/>
        <sz val="14"/>
        <color rgb="FFFF0000"/>
        <rFont val="Arial"/>
        <family val="2"/>
        <charset val="204"/>
      </rPr>
      <t>Действителен с 01.07.2016*</t>
    </r>
  </si>
  <si>
    <r>
      <t xml:space="preserve">II. Прайс-лист на тягово-сцепные устройства для импортных моделей автомобилей. </t>
    </r>
    <r>
      <rPr>
        <b/>
        <sz val="14"/>
        <color rgb="FFFF0000"/>
        <rFont val="Arial"/>
        <family val="2"/>
        <charset val="204"/>
      </rPr>
      <t>Действителен с 01.07.2016*</t>
    </r>
  </si>
  <si>
    <r>
      <t>Q5 4x4</t>
    </r>
    <r>
      <rPr>
        <sz val="16"/>
        <color indexed="10"/>
        <rFont val="Arial"/>
        <family val="2"/>
      </rPr>
      <t xml:space="preserve"> (без электрики)</t>
    </r>
  </si>
  <si>
    <r>
      <t xml:space="preserve">Q7 4x4 </t>
    </r>
    <r>
      <rPr>
        <sz val="16"/>
        <color indexed="10"/>
        <rFont val="Arial"/>
        <family val="2"/>
      </rPr>
      <t>(без электрики)</t>
    </r>
  </si>
  <si>
    <r>
      <t xml:space="preserve">Q7 4x4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</si>
  <si>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 Q7 4х4 </t>
    </r>
    <r>
      <rPr>
        <sz val="16"/>
        <color rgb="FFFF0000"/>
        <rFont val="Calibri"/>
        <family val="2"/>
        <charset val="204"/>
      </rPr>
      <t>(без электрики)</t>
    </r>
  </si>
  <si>
    <r>
      <t xml:space="preserve">Q7 4x4 </t>
    </r>
    <r>
      <rPr>
        <sz val="16"/>
        <color rgb="FFFF0000"/>
        <rFont val="Arial"/>
        <family val="2"/>
        <charset val="204"/>
      </rPr>
      <t xml:space="preserve">(без электрики) </t>
    </r>
  </si>
  <si>
    <r>
      <t xml:space="preserve">Q7 4x4 </t>
    </r>
    <r>
      <rPr>
        <sz val="16"/>
        <color rgb="FFFF0000"/>
        <rFont val="Arial"/>
        <family val="2"/>
        <charset val="204"/>
      </rPr>
      <t xml:space="preserve">(без электрики) </t>
    </r>
    <r>
      <rPr>
        <sz val="16"/>
        <rFont val="Arial"/>
        <family val="2"/>
      </rPr>
      <t xml:space="preserve">                   </t>
    </r>
  </si>
  <si>
    <r>
      <t xml:space="preserve">X1 </t>
    </r>
    <r>
      <rPr>
        <sz val="16"/>
        <color indexed="10"/>
        <rFont val="Arial"/>
        <family val="2"/>
      </rPr>
      <t>(без электрики)</t>
    </r>
  </si>
  <si>
    <r>
      <t xml:space="preserve">X-3 4x4 (F25) </t>
    </r>
    <r>
      <rPr>
        <sz val="16"/>
        <color indexed="10"/>
        <rFont val="Arial"/>
        <family val="2"/>
      </rPr>
      <t>(без электрики)</t>
    </r>
  </si>
  <si>
    <r>
      <t xml:space="preserve">X-3 4x4 </t>
    </r>
    <r>
      <rPr>
        <sz val="16"/>
        <color indexed="10"/>
        <rFont val="Arial"/>
        <family val="2"/>
      </rPr>
      <t>(без электрики)</t>
    </r>
  </si>
  <si>
    <r>
      <t xml:space="preserve">X-5 4x4 </t>
    </r>
    <r>
      <rPr>
        <sz val="16"/>
        <color indexed="10"/>
        <rFont val="Arial"/>
        <family val="2"/>
      </rPr>
      <t>(без электрики)</t>
    </r>
  </si>
  <si>
    <r>
      <t xml:space="preserve">X-5 4x4 </t>
    </r>
    <r>
      <rPr>
        <sz val="16"/>
        <color indexed="10"/>
        <rFont val="Arial"/>
        <family val="2"/>
      </rPr>
      <t>(без электрики) кроме X5 M, X5 xDrive M50d</t>
    </r>
  </si>
  <si>
    <r>
      <t xml:space="preserve">X-6 4x4 </t>
    </r>
    <r>
      <rPr>
        <sz val="16"/>
        <color indexed="10"/>
        <rFont val="Arial"/>
        <family val="2"/>
      </rPr>
      <t>(без электрики)</t>
    </r>
  </si>
  <si>
    <r>
      <t xml:space="preserve">V5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</si>
  <si>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Aveo HB </t>
    </r>
    <r>
      <rPr>
        <sz val="16"/>
        <color rgb="FFFF0000"/>
        <rFont val="Arial"/>
        <family val="2"/>
        <charset val="204"/>
      </rPr>
      <t xml:space="preserve"> (без электрики)</t>
    </r>
  </si>
  <si>
    <r>
      <t xml:space="preserve">Aveo HB </t>
    </r>
    <r>
      <rPr>
        <sz val="16"/>
        <color indexed="10"/>
        <rFont val="Arial"/>
        <family val="2"/>
      </rPr>
      <t xml:space="preserve"> (без электрики)</t>
    </r>
  </si>
  <si>
    <r>
      <t xml:space="preserve">Aveo sedan </t>
    </r>
    <r>
      <rPr>
        <sz val="16"/>
        <color indexed="10"/>
        <rFont val="Arial"/>
        <family val="2"/>
      </rPr>
      <t xml:space="preserve"> (без электрики)</t>
    </r>
  </si>
  <si>
    <r>
      <t xml:space="preserve">Captivа 4x4   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</si>
  <si>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Cobalt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</si>
  <si>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Cruze HB </t>
    </r>
    <r>
      <rPr>
        <sz val="16"/>
        <color indexed="10"/>
        <rFont val="Arial"/>
        <family val="2"/>
      </rPr>
      <t>(без электрики)</t>
    </r>
  </si>
  <si>
    <r>
      <t xml:space="preserve">Cruze SW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</si>
  <si>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Trailblaser 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</si>
  <si>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Grand Voyager 4x4                                                                 Dodge Caravan 4x4 </t>
    </r>
    <r>
      <rPr>
        <sz val="16"/>
        <color indexed="10"/>
        <rFont val="Arial"/>
        <family val="2"/>
      </rPr>
      <t>(без электрики)</t>
    </r>
  </si>
  <si>
    <r>
      <t xml:space="preserve">Bonus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</si>
  <si>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M11 HB </t>
    </r>
    <r>
      <rPr>
        <sz val="16"/>
        <color indexed="10"/>
        <rFont val="Arial"/>
        <family val="2"/>
      </rPr>
      <t>(без электрики)</t>
    </r>
  </si>
  <si>
    <r>
      <t xml:space="preserve">Tiggo/Vortex Tingo </t>
    </r>
    <r>
      <rPr>
        <sz val="16"/>
        <color indexed="10"/>
        <rFont val="Arial"/>
        <family val="2"/>
        <charset val="204"/>
      </rPr>
      <t xml:space="preserve"> (без электрики)</t>
    </r>
  </si>
  <si>
    <r>
      <t xml:space="preserve">Tiggo 5 </t>
    </r>
    <r>
      <rPr>
        <sz val="16"/>
        <color indexed="10"/>
        <rFont val="Arial"/>
        <family val="2"/>
        <charset val="204"/>
      </rPr>
      <t xml:space="preserve"> (без электрики)</t>
    </r>
  </si>
  <si>
    <r>
      <t>Changan CS35</t>
    </r>
    <r>
      <rPr>
        <sz val="16"/>
        <color rgb="FFFF0000"/>
        <rFont val="Arial"/>
        <family val="2"/>
        <charset val="204"/>
      </rPr>
      <t xml:space="preserve"> (без электрики)</t>
    </r>
  </si>
  <si>
    <r>
      <t xml:space="preserve">307 / 308  HB                                                                           Citroen C4 HB </t>
    </r>
    <r>
      <rPr>
        <sz val="16"/>
        <color indexed="10"/>
        <rFont val="Arial"/>
        <family val="2"/>
      </rPr>
      <t>(без электрики)</t>
    </r>
  </si>
  <si>
    <r>
      <t xml:space="preserve">Berlingo II minivan, van                                                                                              Peugeot Partner  II minivan, van   </t>
    </r>
    <r>
      <rPr>
        <sz val="16"/>
        <color rgb="FFFF0000"/>
        <rFont val="Arial"/>
        <family val="2"/>
        <charset val="204"/>
      </rPr>
      <t xml:space="preserve">Короткая база (4380мм.) </t>
    </r>
    <r>
      <rPr>
        <sz val="16"/>
        <rFont val="Arial"/>
        <family val="2"/>
      </rPr>
      <t xml:space="preserve">                      </t>
    </r>
    <r>
      <rPr>
        <sz val="16"/>
        <color indexed="10"/>
        <rFont val="Arial"/>
        <family val="2"/>
      </rPr>
      <t>(без электрики)</t>
    </r>
  </si>
  <si>
    <r>
      <t xml:space="preserve">C4 HB   </t>
    </r>
    <r>
      <rPr>
        <sz val="16"/>
        <color indexed="10"/>
        <rFont val="Arial"/>
        <family val="2"/>
        <charset val="204"/>
      </rPr>
      <t>(без электрики)</t>
    </r>
  </si>
  <si>
    <r>
      <t xml:space="preserve">C4 sedan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</si>
  <si>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C-Crosser  </t>
    </r>
    <r>
      <rPr>
        <sz val="16"/>
        <color indexed="10"/>
        <rFont val="Arial"/>
        <family val="2"/>
      </rPr>
      <t>(без электрики)</t>
    </r>
  </si>
  <si>
    <r>
      <t xml:space="preserve">C-Crosser  </t>
    </r>
    <r>
      <rPr>
        <sz val="16"/>
        <color rgb="FFFF0000"/>
        <rFont val="Arial"/>
        <family val="2"/>
        <charset val="204"/>
      </rPr>
      <t>(без электрики)</t>
    </r>
  </si>
  <si>
    <r>
      <rPr>
        <b/>
        <sz val="16"/>
        <rFont val="Arial"/>
        <family val="2"/>
        <charset val="204"/>
      </rPr>
      <t xml:space="preserve">Gentra   </t>
    </r>
    <r>
      <rPr>
        <sz val="16"/>
        <rFont val="Arial"/>
        <family val="2"/>
      </rPr>
      <t xml:space="preserve">                                             Nubira sedan                                  Chevrolet Lacetti sedan </t>
    </r>
  </si>
  <si>
    <r>
      <t xml:space="preserve">Nexia </t>
    </r>
    <r>
      <rPr>
        <sz val="16"/>
        <rFont val="Arial"/>
        <family val="2"/>
        <charset val="204"/>
      </rPr>
      <t>sedan (рестайлинг 2008)</t>
    </r>
  </si>
  <si>
    <r>
      <t xml:space="preserve">Tacuma minivan                        </t>
    </r>
    <r>
      <rPr>
        <sz val="16"/>
        <rFont val="Arial"/>
        <family val="2"/>
        <charset val="204"/>
      </rPr>
      <t xml:space="preserve">  </t>
    </r>
    <r>
      <rPr>
        <sz val="16"/>
        <rFont val="Arial"/>
        <family val="2"/>
      </rPr>
      <t xml:space="preserve">                                                            Chevrolet Rezzo minivan</t>
    </r>
  </si>
  <si>
    <r>
      <t xml:space="preserve">Caravan 4x4                                                                                             Chrysler Grand Voyager 4x4 </t>
    </r>
    <r>
      <rPr>
        <sz val="16"/>
        <color indexed="10"/>
        <rFont val="Arial"/>
        <family val="2"/>
      </rPr>
      <t>(без электрики)</t>
    </r>
  </si>
  <si>
    <r>
      <t xml:space="preserve">Besturn B50 </t>
    </r>
    <r>
      <rPr>
        <sz val="16"/>
        <color rgb="FFFF0000"/>
        <rFont val="Arial"/>
        <family val="2"/>
        <charset val="204"/>
      </rPr>
      <t>(без электрики)</t>
    </r>
  </si>
  <si>
    <r>
      <t>V5</t>
    </r>
    <r>
      <rPr>
        <sz val="16"/>
        <color rgb="FFFF0000"/>
        <rFont val="Arial"/>
        <family val="2"/>
        <charset val="204"/>
      </rPr>
      <t xml:space="preserve"> (без электрики)</t>
    </r>
  </si>
  <si>
    <r>
      <t>Ducato III (van) - Sollers 44 339,10</t>
    </r>
    <r>
      <rPr>
        <sz val="16"/>
        <color rgb="FFFF0000"/>
        <rFont val="Arial"/>
        <family val="2"/>
        <charset val="204"/>
      </rPr>
      <t xml:space="preserve"> (без электрики)</t>
    </r>
  </si>
  <si>
    <r>
      <t xml:space="preserve">Ecosport 2WD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</si>
  <si>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Ecosport 2WD, 4WD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</si>
  <si>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Edge </t>
    </r>
    <r>
      <rPr>
        <sz val="16"/>
        <color rgb="FFFF0000"/>
        <rFont val="Arial"/>
        <family val="2"/>
        <charset val="204"/>
      </rPr>
      <t xml:space="preserve"> (без электрики)</t>
    </r>
  </si>
  <si>
    <r>
      <t>Fiesta  HB</t>
    </r>
    <r>
      <rPr>
        <sz val="16"/>
        <color rgb="FFFF0000"/>
        <rFont val="Arial"/>
        <family val="2"/>
        <charset val="204"/>
      </rPr>
      <t xml:space="preserve"> (без электрики) </t>
    </r>
  </si>
  <si>
    <r>
      <t xml:space="preserve">Galaxy minivan </t>
    </r>
    <r>
      <rPr>
        <sz val="16"/>
        <color indexed="10"/>
        <rFont val="Arial"/>
        <family val="2"/>
      </rPr>
      <t>(без электрики)</t>
    </r>
  </si>
  <si>
    <r>
      <t xml:space="preserve">Kuga 4x4 </t>
    </r>
    <r>
      <rPr>
        <sz val="16"/>
        <color indexed="10"/>
        <rFont val="Arial"/>
        <family val="2"/>
      </rPr>
      <t>(без электрики)</t>
    </r>
  </si>
  <si>
    <r>
      <t xml:space="preserve">Kuga 4x4 исключая авто с функцией сободные руки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</si>
  <si>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Mondeo sedan </t>
    </r>
    <r>
      <rPr>
        <sz val="16"/>
        <color indexed="10"/>
        <rFont val="Arial"/>
        <family val="2"/>
      </rPr>
      <t>(без электрики)</t>
    </r>
  </si>
  <si>
    <r>
      <t xml:space="preserve">Ranger (Limited, Wildtrak) со ступенькой                 </t>
    </r>
    <r>
      <rPr>
        <sz val="16"/>
        <color indexed="10"/>
        <rFont val="Arial"/>
        <family val="2"/>
        <charset val="204"/>
      </rPr>
      <t>(без электрики)</t>
    </r>
  </si>
  <si>
    <r>
      <t xml:space="preserve">Ranger XL  и XLT (пр-во с 2013) без ступеньки        </t>
    </r>
    <r>
      <rPr>
        <sz val="16"/>
        <color indexed="10"/>
        <rFont val="Arial"/>
        <family val="2"/>
        <charset val="204"/>
      </rPr>
      <t>(без электрики)</t>
    </r>
  </si>
  <si>
    <r>
      <t xml:space="preserve">S-Max minivan </t>
    </r>
    <r>
      <rPr>
        <sz val="16"/>
        <color indexed="10"/>
        <rFont val="Arial"/>
        <family val="2"/>
      </rPr>
      <t>(без электрики)</t>
    </r>
  </si>
  <si>
    <r>
      <t xml:space="preserve">Tourneo Custom </t>
    </r>
    <r>
      <rPr>
        <sz val="16"/>
        <color rgb="FFFF0000"/>
        <rFont val="Arial"/>
        <family val="2"/>
        <charset val="204"/>
      </rPr>
      <t xml:space="preserve"> (без электрики)</t>
    </r>
  </si>
  <si>
    <r>
      <t xml:space="preserve">Transit Chassis Cab </t>
    </r>
    <r>
      <rPr>
        <sz val="16"/>
        <color indexed="10"/>
        <rFont val="Arial"/>
        <family val="2"/>
      </rPr>
      <t>(без электрики)</t>
    </r>
  </si>
  <si>
    <r>
      <t xml:space="preserve">Transit без ступеньки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</si>
  <si>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Transit VAN </t>
    </r>
    <r>
      <rPr>
        <sz val="16"/>
        <color rgb="FFFF0000"/>
        <rFont val="Arial"/>
        <family val="2"/>
        <charset val="204"/>
      </rPr>
      <t>(без электрики) + для удлиненной базы</t>
    </r>
  </si>
  <si>
    <r>
      <t xml:space="preserve">Emgrand sedan </t>
    </r>
    <r>
      <rPr>
        <sz val="16"/>
        <color indexed="10"/>
        <rFont val="Arial"/>
        <family val="2"/>
        <charset val="204"/>
      </rPr>
      <t>(без электрики)</t>
    </r>
  </si>
  <si>
    <r>
      <t xml:space="preserve">Emgrand X7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</si>
  <si>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MK cross </t>
    </r>
    <r>
      <rPr>
        <sz val="16"/>
        <color indexed="10"/>
        <rFont val="Arial"/>
        <family val="2"/>
        <charset val="204"/>
      </rPr>
      <t>(без электрики)</t>
    </r>
  </si>
  <si>
    <r>
      <t>Hover H6</t>
    </r>
    <r>
      <rPr>
        <sz val="16"/>
        <color rgb="FFFF0000"/>
        <rFont val="Arial"/>
        <family val="2"/>
        <charset val="204"/>
      </rPr>
      <t xml:space="preserve"> (без электрики)</t>
    </r>
  </si>
  <si>
    <r>
      <t xml:space="preserve">Hover M2 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</si>
  <si>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Hover M4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</si>
  <si>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Wingle 5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</si>
  <si>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Haima 7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</si>
  <si>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CR-V 2,0; 2,4; 4x4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</si>
  <si>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Elantra </t>
    </r>
    <r>
      <rPr>
        <sz val="16"/>
        <color rgb="FFFF0000"/>
        <rFont val="Arial"/>
        <family val="2"/>
        <charset val="204"/>
      </rPr>
      <t>(без электрики) рестайлинг</t>
    </r>
  </si>
  <si>
    <r>
      <t xml:space="preserve">H1  </t>
    </r>
    <r>
      <rPr>
        <sz val="16"/>
        <color indexed="10"/>
        <rFont val="Arial"/>
        <family val="2"/>
        <charset val="204"/>
      </rPr>
      <t>(без электрики)</t>
    </r>
  </si>
  <si>
    <r>
      <t xml:space="preserve">i30 HB                                                     KIA Ceed HB </t>
    </r>
    <r>
      <rPr>
        <sz val="16"/>
        <color indexed="10"/>
        <rFont val="Arial"/>
        <family val="2"/>
        <charset val="204"/>
      </rPr>
      <t xml:space="preserve">(без электрики)                    </t>
    </r>
  </si>
  <si>
    <r>
      <t xml:space="preserve">i30 SW                                                       Kia Ceed Sporty Wagon  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</si>
  <si>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Santa Fe                                             Grand Santa Fe   </t>
    </r>
    <r>
      <rPr>
        <sz val="16"/>
        <color rgb="FFFF0000"/>
        <rFont val="Arial"/>
        <family val="2"/>
        <charset val="204"/>
      </rPr>
      <t xml:space="preserve">(без электрики)                         </t>
    </r>
    <r>
      <rPr>
        <sz val="16"/>
        <rFont val="Arial"/>
        <family val="2"/>
        <charset val="204"/>
      </rPr>
      <t>KIA Sorento</t>
    </r>
  </si>
  <si>
    <r>
      <t xml:space="preserve">Solaris sedan, HB 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</si>
  <si>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Sonata </t>
    </r>
    <r>
      <rPr>
        <sz val="16"/>
        <rFont val="Arial"/>
        <family val="2"/>
        <charset val="204"/>
      </rPr>
      <t>V</t>
    </r>
    <r>
      <rPr>
        <sz val="16"/>
        <rFont val="Arial"/>
        <family val="2"/>
      </rPr>
      <t>, sedan</t>
    </r>
  </si>
  <si>
    <r>
      <t xml:space="preserve">FX 35 4x4 </t>
    </r>
    <r>
      <rPr>
        <sz val="16"/>
        <color indexed="10"/>
        <rFont val="Arial"/>
        <family val="2"/>
      </rPr>
      <t>(без электрики)</t>
    </r>
  </si>
  <si>
    <r>
      <t xml:space="preserve">FX 37/50  </t>
    </r>
    <r>
      <rPr>
        <sz val="16"/>
        <color indexed="10"/>
        <rFont val="Arial"/>
        <family val="2"/>
      </rPr>
      <t>(без электрики)</t>
    </r>
  </si>
  <si>
    <r>
      <t xml:space="preserve">S5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</si>
  <si>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Cee'd HB </t>
    </r>
    <r>
      <rPr>
        <sz val="16"/>
        <color indexed="10"/>
        <rFont val="Arial"/>
        <family val="2"/>
        <charset val="204"/>
      </rPr>
      <t xml:space="preserve">(без электрики)                    </t>
    </r>
    <r>
      <rPr>
        <sz val="16"/>
        <rFont val="Arial"/>
        <family val="2"/>
        <charset val="204"/>
      </rPr>
      <t>Hyundai i30 HB</t>
    </r>
  </si>
  <si>
    <r>
      <t xml:space="preserve">Ceed Sporty Wagon                             Hyundai I30 SW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</si>
  <si>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Cerato sedan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</si>
  <si>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Mohave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</si>
  <si>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Rio II HB </t>
    </r>
    <r>
      <rPr>
        <sz val="16"/>
        <color rgb="FFFF0000"/>
        <rFont val="Arial"/>
        <family val="2"/>
        <charset val="204"/>
      </rPr>
      <t xml:space="preserve"> (без электрики)   </t>
    </r>
  </si>
  <si>
    <r>
      <t xml:space="preserve">Sorento 4x4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</si>
  <si>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Sorento Prime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</si>
  <si>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Soul MPV NEW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</si>
  <si>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Discovery Sport   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</si>
  <si>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Freelander II 4x4  </t>
    </r>
    <r>
      <rPr>
        <sz val="16"/>
        <color indexed="10"/>
        <rFont val="Arial"/>
        <family val="2"/>
      </rPr>
      <t>(без электрики)</t>
    </r>
  </si>
  <si>
    <r>
      <t xml:space="preserve">GX </t>
    </r>
    <r>
      <rPr>
        <sz val="16"/>
        <color rgb="FFFF0000"/>
        <rFont val="Arial"/>
        <family val="2"/>
        <charset val="204"/>
      </rPr>
      <t xml:space="preserve">(без электрики)    </t>
    </r>
    <r>
      <rPr>
        <sz val="16"/>
        <rFont val="Arial"/>
        <family val="2"/>
      </rPr>
      <t xml:space="preserve">  </t>
    </r>
  </si>
  <si>
    <r>
      <t xml:space="preserve">GX 460 </t>
    </r>
    <r>
      <rPr>
        <sz val="16"/>
        <color rgb="FFFF0000"/>
        <rFont val="Arial"/>
        <family val="2"/>
        <charset val="204"/>
      </rPr>
      <t xml:space="preserve">(без электрики)      </t>
    </r>
  </si>
  <si>
    <r>
      <t xml:space="preserve">GX 460
Land Cruiser Prado (150)  4x4                </t>
    </r>
    <r>
      <rPr>
        <sz val="16"/>
        <color rgb="FFFF0000"/>
        <rFont val="Arial"/>
        <family val="2"/>
        <charset val="204"/>
      </rPr>
      <t>(без электрики)                                 Крепление шара на балке ТСУ</t>
    </r>
  </si>
  <si>
    <r>
      <t xml:space="preserve">Lexus LX 570 4x4                                    Toyoya Land Cruiser 200 4x4 </t>
    </r>
    <r>
      <rPr>
        <sz val="16"/>
        <color rgb="FFFF0000"/>
        <rFont val="Arial"/>
        <family val="2"/>
        <charset val="204"/>
      </rPr>
      <t>(без электрики)   Крепление шара на балке ТСУ</t>
    </r>
  </si>
  <si>
    <r>
      <t xml:space="preserve">Lexus RX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</si>
  <si>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LX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</si>
  <si>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LX 570 4x4                                                                                                      Toyota Land Cruiser 200 4x4                  </t>
    </r>
    <r>
      <rPr>
        <sz val="16"/>
        <color rgb="FFFF0000"/>
        <rFont val="Arial"/>
        <family val="2"/>
        <charset val="204"/>
      </rPr>
      <t>(без электрики)                                               Крепление шара на балке ТСУ</t>
    </r>
  </si>
  <si>
    <r>
      <t xml:space="preserve">Cebrium sedan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</si>
  <si>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Solano sedan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</si>
  <si>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X50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</si>
  <si>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X60 </t>
    </r>
    <r>
      <rPr>
        <sz val="16"/>
        <color rgb="FFFF0000"/>
        <rFont val="Arial"/>
        <family val="2"/>
        <charset val="204"/>
      </rPr>
      <t>(без электрики)</t>
    </r>
  </si>
  <si>
    <r>
      <t>3 sedan</t>
    </r>
    <r>
      <rPr>
        <sz val="16"/>
        <color indexed="10"/>
        <rFont val="Arial"/>
        <family val="2"/>
      </rPr>
      <t xml:space="preserve"> (без электрики)</t>
    </r>
  </si>
  <si>
    <r>
      <t xml:space="preserve">6 HB, sedan  </t>
    </r>
    <r>
      <rPr>
        <sz val="16"/>
        <color indexed="10"/>
        <rFont val="Arial"/>
        <family val="2"/>
      </rPr>
      <t>(без электрики)</t>
    </r>
  </si>
  <si>
    <r>
      <t>CX-5</t>
    </r>
    <r>
      <rPr>
        <sz val="16"/>
        <color indexed="10"/>
        <rFont val="Arial"/>
        <family val="2"/>
      </rPr>
      <t xml:space="preserve"> (без электрики)</t>
    </r>
  </si>
  <si>
    <r>
      <t xml:space="preserve">CX-7 4x4 </t>
    </r>
    <r>
      <rPr>
        <sz val="16"/>
        <color indexed="10"/>
        <rFont val="Arial"/>
        <family val="2"/>
      </rPr>
      <t>(без электрики)</t>
    </r>
  </si>
  <si>
    <r>
      <t xml:space="preserve">CX-9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</si>
  <si>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CX-9 4x4 </t>
    </r>
    <r>
      <rPr>
        <sz val="16"/>
        <color indexed="10"/>
        <rFont val="Arial"/>
        <family val="2"/>
      </rPr>
      <t>(без электрики)</t>
    </r>
  </si>
  <si>
    <r>
      <t xml:space="preserve">GLK-Сlasse (x204) 4x4 </t>
    </r>
    <r>
      <rPr>
        <sz val="16"/>
        <color indexed="10"/>
        <rFont val="Arial"/>
        <family val="2"/>
      </rPr>
      <t>(без электрики)</t>
    </r>
  </si>
  <si>
    <r>
      <t xml:space="preserve">M-Class (W164) 4x4 </t>
    </r>
    <r>
      <rPr>
        <sz val="16"/>
        <color indexed="10"/>
        <rFont val="Arial"/>
        <family val="2"/>
      </rPr>
      <t>(без электрики)</t>
    </r>
  </si>
  <si>
    <r>
      <t xml:space="preserve">M-Class (W164, W166) 4x4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</si>
  <si>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Sprinter II minibus, van                                             Volkswagen Crafter minivan , van </t>
    </r>
    <r>
      <rPr>
        <sz val="16"/>
        <color indexed="10"/>
        <rFont val="Arial"/>
        <family val="2"/>
      </rPr>
      <t>(без электрики)</t>
    </r>
  </si>
  <si>
    <r>
      <t xml:space="preserve">Sprinter Classic база 5640мм без ступеньки </t>
    </r>
    <r>
      <rPr>
        <sz val="16"/>
        <color rgb="FFFF0000"/>
        <rFont val="Arial"/>
        <family val="2"/>
        <charset val="204"/>
      </rPr>
      <t xml:space="preserve"> (без электрики)</t>
    </r>
  </si>
  <si>
    <r>
      <t xml:space="preserve">L-200                                                                                                              L-200 </t>
    </r>
    <r>
      <rPr>
        <sz val="16"/>
        <color rgb="FFFF0000"/>
        <rFont val="Arial"/>
        <family val="2"/>
        <charset val="204"/>
      </rPr>
      <t>Triton (с отбойным брусом)</t>
    </r>
  </si>
  <si>
    <r>
      <t xml:space="preserve">L200 </t>
    </r>
    <r>
      <rPr>
        <sz val="16"/>
        <color rgb="FFFF0000"/>
        <rFont val="Arial"/>
        <family val="2"/>
        <charset val="204"/>
      </rPr>
      <t xml:space="preserve"> (без электрики)</t>
    </r>
  </si>
  <si>
    <r>
      <t xml:space="preserve">Lancer Sedan (двигатель1,6L) </t>
    </r>
    <r>
      <rPr>
        <sz val="16"/>
        <color indexed="10"/>
        <rFont val="Arial"/>
        <family val="2"/>
      </rPr>
      <t>(без электрики)</t>
    </r>
  </si>
  <si>
    <r>
      <t xml:space="preserve">Outlander </t>
    </r>
    <r>
      <rPr>
        <sz val="16"/>
        <color indexed="10"/>
        <rFont val="Arial"/>
        <family val="2"/>
      </rPr>
      <t>(без электрики)</t>
    </r>
  </si>
  <si>
    <r>
      <t xml:space="preserve">Outlander XL 7 4x4 </t>
    </r>
    <r>
      <rPr>
        <sz val="16"/>
        <color indexed="10"/>
        <rFont val="Arial"/>
        <family val="2"/>
      </rPr>
      <t>(без электрики)</t>
    </r>
  </si>
  <si>
    <r>
      <t xml:space="preserve">Outlander XL 7 4x4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</si>
  <si>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Almera 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</si>
  <si>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Juke (4WD)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</si>
  <si>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Pathfinder (R52)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</si>
  <si>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Patrol </t>
    </r>
    <r>
      <rPr>
        <sz val="16"/>
        <color indexed="10"/>
        <rFont val="Arial"/>
        <family val="2"/>
      </rPr>
      <t>(без электрики)</t>
    </r>
  </si>
  <si>
    <r>
      <t xml:space="preserve">Sentra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</si>
  <si>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Terrano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</si>
  <si>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Tiida HB  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</si>
  <si>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X-Trail 4x4 (T32)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</si>
  <si>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Antara 4x4 </t>
    </r>
    <r>
      <rPr>
        <sz val="16"/>
        <color indexed="10"/>
        <rFont val="Arial"/>
        <family val="2"/>
      </rPr>
      <t>(без электрики)</t>
    </r>
  </si>
  <si>
    <r>
      <t>Astra H</t>
    </r>
    <r>
      <rPr>
        <sz val="16"/>
        <color indexed="10"/>
        <rFont val="Arial"/>
        <family val="2"/>
        <charset val="204"/>
      </rPr>
      <t xml:space="preserve"> </t>
    </r>
    <r>
      <rPr>
        <b/>
        <sz val="16"/>
        <color indexed="10"/>
        <rFont val="Arial"/>
        <family val="2"/>
        <charset val="204"/>
      </rPr>
      <t xml:space="preserve">(Family) </t>
    </r>
    <r>
      <rPr>
        <sz val="16"/>
        <rFont val="Arial"/>
        <family val="2"/>
      </rPr>
      <t xml:space="preserve">HB </t>
    </r>
    <r>
      <rPr>
        <sz val="16"/>
        <color indexed="10"/>
        <rFont val="Arial"/>
        <family val="2"/>
      </rPr>
      <t>(без электрики)</t>
    </r>
  </si>
  <si>
    <r>
      <t xml:space="preserve">Astra H </t>
    </r>
    <r>
      <rPr>
        <b/>
        <sz val="16"/>
        <color indexed="10"/>
        <rFont val="Arial"/>
        <family val="2"/>
        <charset val="204"/>
      </rPr>
      <t>(Family)</t>
    </r>
    <r>
      <rPr>
        <sz val="16"/>
        <rFont val="Arial"/>
        <family val="2"/>
      </rPr>
      <t xml:space="preserve"> sedan </t>
    </r>
    <r>
      <rPr>
        <sz val="16"/>
        <color indexed="10"/>
        <rFont val="Arial"/>
        <family val="2"/>
      </rPr>
      <t>(без электрики)</t>
    </r>
  </si>
  <si>
    <r>
      <t xml:space="preserve">Astra J HB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</si>
  <si>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Astra J HB </t>
    </r>
    <r>
      <rPr>
        <sz val="16"/>
        <color indexed="10"/>
        <rFont val="Arial"/>
        <family val="2"/>
      </rPr>
      <t>(без электрики)</t>
    </r>
  </si>
  <si>
    <r>
      <t xml:space="preserve">Astra J Sport Tourer </t>
    </r>
    <r>
      <rPr>
        <sz val="16"/>
        <color indexed="10"/>
        <rFont val="Arial"/>
        <family val="2"/>
      </rPr>
      <t>(без электрики)</t>
    </r>
  </si>
  <si>
    <r>
      <t xml:space="preserve">Astra J Sedan исключая комплектацию Cosmo  </t>
    </r>
    <r>
      <rPr>
        <sz val="16"/>
        <color rgb="FFFF0000"/>
        <rFont val="Arial"/>
        <family val="2"/>
        <charset val="204"/>
      </rPr>
      <t>(без электрики)</t>
    </r>
  </si>
  <si>
    <r>
      <t>Insignia sedan / HB</t>
    </r>
    <r>
      <rPr>
        <sz val="16"/>
        <color indexed="10"/>
        <rFont val="Arial"/>
        <family val="2"/>
      </rPr>
      <t xml:space="preserve"> (без электрики)</t>
    </r>
  </si>
  <si>
    <r>
      <t xml:space="preserve">Insignia wagon </t>
    </r>
    <r>
      <rPr>
        <sz val="16"/>
        <color indexed="10"/>
        <rFont val="Arial"/>
        <family val="2"/>
      </rPr>
      <t>(без электрики)</t>
    </r>
  </si>
  <si>
    <r>
      <t xml:space="preserve">Meriva minivan </t>
    </r>
    <r>
      <rPr>
        <sz val="16"/>
        <color indexed="10"/>
        <rFont val="Arial"/>
        <family val="2"/>
      </rPr>
      <t>(без электрики)</t>
    </r>
  </si>
  <si>
    <r>
      <t xml:space="preserve">Meriva B </t>
    </r>
    <r>
      <rPr>
        <sz val="16"/>
        <color indexed="10"/>
        <rFont val="Arial"/>
        <family val="2"/>
      </rPr>
      <t>(без электрики)</t>
    </r>
  </si>
  <si>
    <r>
      <t xml:space="preserve">Mokka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</si>
  <si>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Zafira B minivan </t>
    </r>
    <r>
      <rPr>
        <sz val="16"/>
        <color indexed="10"/>
        <rFont val="Arial"/>
        <family val="2"/>
      </rPr>
      <t>(без электрики)          исключая а/м с парктроником</t>
    </r>
  </si>
  <si>
    <r>
      <t xml:space="preserve">Zafira C tourer </t>
    </r>
    <r>
      <rPr>
        <sz val="16"/>
        <color indexed="10"/>
        <rFont val="Arial"/>
        <family val="2"/>
      </rPr>
      <t>(без электрики)</t>
    </r>
  </si>
  <si>
    <r>
      <t xml:space="preserve">4007 </t>
    </r>
    <r>
      <rPr>
        <sz val="16"/>
        <color indexed="10"/>
        <rFont val="Arial"/>
        <family val="2"/>
      </rPr>
      <t>(без электрики)</t>
    </r>
  </si>
  <si>
    <r>
      <t xml:space="preserve">4007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</si>
  <si>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408 </t>
    </r>
    <r>
      <rPr>
        <sz val="16"/>
        <color rgb="FFFF0000"/>
        <rFont val="Arial"/>
        <family val="2"/>
        <charset val="204"/>
      </rPr>
      <t xml:space="preserve"> (без электрики)</t>
    </r>
  </si>
  <si>
    <r>
      <t xml:space="preserve">Boxer III                                                    Fiat Ducato IV, Citroen Jumper III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</si>
  <si>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Cayenne 4x4 </t>
    </r>
    <r>
      <rPr>
        <sz val="16"/>
        <color indexed="10"/>
        <rFont val="Arial"/>
        <family val="2"/>
      </rPr>
      <t>(без электрики)</t>
    </r>
  </si>
  <si>
    <r>
      <t xml:space="preserve">Cayenne 4x4 </t>
    </r>
    <r>
      <rPr>
        <sz val="16"/>
        <color rgb="FFFF0000"/>
        <rFont val="Arial"/>
        <family val="2"/>
        <charset val="204"/>
      </rPr>
      <t xml:space="preserve">(без электрики) </t>
    </r>
  </si>
  <si>
    <r>
      <t xml:space="preserve">Cayenne 4x4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</si>
  <si>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Macan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</si>
  <si>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Duster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</si>
  <si>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Kangoo II minivan (в России с 2010) </t>
    </r>
    <r>
      <rPr>
        <sz val="16"/>
        <color indexed="10"/>
        <rFont val="Arial"/>
        <family val="2"/>
      </rPr>
      <t>(без электрики)</t>
    </r>
  </si>
  <si>
    <r>
      <t xml:space="preserve">Logan II sedan    </t>
    </r>
    <r>
      <rPr>
        <sz val="16"/>
        <color rgb="FFFF0000"/>
        <rFont val="Arial"/>
        <family val="2"/>
        <charset val="204"/>
      </rPr>
      <t>(без электрики)</t>
    </r>
  </si>
  <si>
    <r>
      <t>Master передний привод</t>
    </r>
    <r>
      <rPr>
        <sz val="16"/>
        <color rgb="FFFF0000"/>
        <rFont val="Arial"/>
        <family val="2"/>
        <charset val="204"/>
      </rPr>
      <t xml:space="preserve"> (без электрики)</t>
    </r>
  </si>
  <si>
    <r>
      <t xml:space="preserve">Megane  III HB   </t>
    </r>
    <r>
      <rPr>
        <sz val="16"/>
        <color rgb="FFFF0000"/>
        <rFont val="Arial"/>
        <family val="2"/>
        <charset val="204"/>
      </rPr>
      <t>без электрики</t>
    </r>
  </si>
  <si>
    <r>
      <t xml:space="preserve">Sandero HB   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</si>
  <si>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Sandero Stepway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</si>
  <si>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Scenic 2,Grand Scenic 2                           Sceniс 3  </t>
    </r>
    <r>
      <rPr>
        <sz val="16"/>
        <color rgb="FFFF0000"/>
        <rFont val="Arial"/>
        <family val="2"/>
        <charset val="204"/>
      </rPr>
      <t>без электрики</t>
    </r>
  </si>
  <si>
    <r>
      <t xml:space="preserve">Octavia II HB                                                                                                   Octavia II wagon  </t>
    </r>
    <r>
      <rPr>
        <sz val="16"/>
        <color indexed="10"/>
        <rFont val="Arial"/>
        <family val="2"/>
      </rPr>
      <t xml:space="preserve">(без электрики)   </t>
    </r>
    <r>
      <rPr>
        <sz val="16"/>
        <rFont val="Arial"/>
        <family val="2"/>
        <charset val="204"/>
      </rPr>
      <t>Octavia III HB</t>
    </r>
    <r>
      <rPr>
        <b/>
        <sz val="16"/>
        <rFont val="Arial"/>
        <family val="2"/>
        <charset val="204"/>
      </rPr>
      <t xml:space="preserve"> </t>
    </r>
  </si>
  <si>
    <r>
      <t>Octavia III HB</t>
    </r>
    <r>
      <rPr>
        <sz val="16"/>
        <color rgb="FFFF0000"/>
        <rFont val="Arial"/>
        <family val="2"/>
        <charset val="204"/>
      </rPr>
      <t xml:space="preserve"> (без электрики)</t>
    </r>
  </si>
  <si>
    <r>
      <t xml:space="preserve">Octavia Scout wagon   </t>
    </r>
    <r>
      <rPr>
        <sz val="16"/>
        <color indexed="10"/>
        <rFont val="Arial"/>
        <family val="2"/>
      </rPr>
      <t xml:space="preserve">(без электрики)                       </t>
    </r>
    <r>
      <rPr>
        <sz val="16"/>
        <rFont val="Arial"/>
        <family val="2"/>
      </rPr>
      <t xml:space="preserve">                  </t>
    </r>
  </si>
  <si>
    <r>
      <t xml:space="preserve">Rapid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</si>
  <si>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Superb II sedan                                                                    Superb II wagon </t>
    </r>
    <r>
      <rPr>
        <sz val="16"/>
        <color indexed="10"/>
        <rFont val="Arial"/>
        <family val="2"/>
      </rPr>
      <t>(без электрики)</t>
    </r>
  </si>
  <si>
    <r>
      <t>Skoda Superb</t>
    </r>
    <r>
      <rPr>
        <sz val="16"/>
        <color rgb="FFFF0000"/>
        <rFont val="Arial"/>
        <family val="2"/>
        <charset val="204"/>
      </rPr>
      <t xml:space="preserve"> (без электрики)</t>
    </r>
    <r>
      <rPr>
        <sz val="16"/>
        <rFont val="Arial"/>
        <family val="2"/>
      </rPr>
      <t xml:space="preserve">                 </t>
    </r>
  </si>
  <si>
    <r>
      <t xml:space="preserve">Yeti 4x4    </t>
    </r>
    <r>
      <rPr>
        <sz val="16"/>
        <color indexed="10"/>
        <rFont val="Arial"/>
        <family val="2"/>
      </rPr>
      <t>(без электрики)</t>
    </r>
  </si>
  <si>
    <r>
      <t xml:space="preserve">Stavic </t>
    </r>
    <r>
      <rPr>
        <sz val="16"/>
        <color rgb="FFFF0000"/>
        <rFont val="Arial"/>
        <family val="2"/>
        <charset val="204"/>
      </rPr>
      <t xml:space="preserve"> (без электрики)</t>
    </r>
  </si>
  <si>
    <r>
      <t xml:space="preserve">Forester 4x4  </t>
    </r>
    <r>
      <rPr>
        <sz val="16"/>
        <color rgb="FFFF0000"/>
        <rFont val="Arial"/>
        <family val="2"/>
        <charset val="204"/>
      </rPr>
      <t>(без электрики)</t>
    </r>
  </si>
  <si>
    <r>
      <t>Out back 4x4</t>
    </r>
    <r>
      <rPr>
        <sz val="16"/>
        <color rgb="FFFF0000"/>
        <rFont val="Arial"/>
        <family val="2"/>
        <charset val="204"/>
      </rPr>
      <t xml:space="preserve"> (без электрики)</t>
    </r>
  </si>
  <si>
    <r>
      <t xml:space="preserve">XV 4x4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</si>
  <si>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Jimny 4x4    </t>
    </r>
    <r>
      <rPr>
        <sz val="16"/>
        <color indexed="10"/>
        <rFont val="Arial"/>
        <family val="2"/>
      </rPr>
      <t>(без электрики)</t>
    </r>
  </si>
  <si>
    <r>
      <t xml:space="preserve">SX4 new (S-Cross)     </t>
    </r>
    <r>
      <rPr>
        <sz val="16"/>
        <color rgb="FFFF0000"/>
        <rFont val="Arial"/>
        <family val="2"/>
        <charset val="204"/>
      </rPr>
      <t xml:space="preserve">(без электрики)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</si>
  <si>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SX4 new (S-Cross)     </t>
    </r>
    <r>
      <rPr>
        <sz val="16"/>
        <color rgb="FFFF0000"/>
        <rFont val="Arial"/>
        <family val="2"/>
        <charset val="204"/>
      </rPr>
      <t>(без электрики)</t>
    </r>
  </si>
  <si>
    <r>
      <rPr>
        <sz val="16"/>
        <color rgb="FFFF0000"/>
        <rFont val="Arial"/>
        <family val="2"/>
        <charset val="204"/>
      </rPr>
      <t xml:space="preserve"> </t>
    </r>
    <r>
      <rPr>
        <sz val="16"/>
        <rFont val="Arial"/>
        <family val="2"/>
        <charset val="204"/>
      </rPr>
      <t xml:space="preserve">Vitara  (без электрики)                 </t>
    </r>
  </si>
  <si>
    <r>
      <t xml:space="preserve">Auris HB 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</si>
  <si>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Avensis Sedan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</si>
  <si>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Avensis Wagon( </t>
    </r>
    <r>
      <rPr>
        <sz val="16"/>
        <color rgb="FFFF0000"/>
        <rFont val="Arial"/>
        <family val="2"/>
        <charset val="204"/>
      </rPr>
      <t>без электрики)</t>
    </r>
  </si>
  <si>
    <r>
      <t xml:space="preserve">Corolla HB 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</si>
  <si>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Corolla sedan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</si>
  <si>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Highlander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</si>
  <si>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Highlander </t>
    </r>
    <r>
      <rPr>
        <sz val="16"/>
        <color rgb="FFFF0000"/>
        <rFont val="Arial"/>
        <family val="2"/>
        <charset val="204"/>
      </rPr>
      <t>(без электрики)        Крепление шара на балке ТСУ</t>
    </r>
  </si>
  <si>
    <r>
      <t>Highlander</t>
    </r>
    <r>
      <rPr>
        <sz val="16"/>
        <color rgb="FFFF0000"/>
        <rFont val="Arial"/>
        <family val="2"/>
        <charset val="204"/>
      </rPr>
      <t xml:space="preserve"> (без электрики)        Крепление шара на балке ТСУ</t>
    </r>
  </si>
  <si>
    <r>
      <t xml:space="preserve">Hilux double cab (без отбойного бруса) </t>
    </r>
    <r>
      <rPr>
        <sz val="16"/>
        <color rgb="FFFF0000"/>
        <rFont val="Arial"/>
        <family val="2"/>
        <charset val="204"/>
      </rPr>
      <t>без электрики</t>
    </r>
  </si>
  <si>
    <r>
      <t xml:space="preserve">Land Cruiser 200 4x4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</si>
  <si>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Land Cruiser 200 4x4 </t>
    </r>
    <r>
      <rPr>
        <sz val="16"/>
        <color rgb="FFFF0000"/>
        <rFont val="Arial"/>
        <family val="2"/>
        <charset val="204"/>
      </rPr>
      <t>(без электрики)   Крепление шара на балке ТСУ</t>
    </r>
  </si>
  <si>
    <r>
      <t xml:space="preserve">Land Cruiser Prado J150/120  4x4 </t>
    </r>
    <r>
      <rPr>
        <sz val="16"/>
        <color rgb="FFFF0000"/>
        <rFont val="Arial"/>
        <family val="2"/>
        <charset val="204"/>
      </rPr>
      <t xml:space="preserve">(без электрики)    </t>
    </r>
    <r>
      <rPr>
        <sz val="16"/>
        <rFont val="Arial"/>
        <family val="2"/>
      </rPr>
      <t xml:space="preserve">  </t>
    </r>
  </si>
  <si>
    <r>
      <t xml:space="preserve">Land Cruiser Prado J150/120  4x4 </t>
    </r>
    <r>
      <rPr>
        <sz val="16"/>
        <color rgb="FFFF0000"/>
        <rFont val="Arial"/>
        <family val="2"/>
        <charset val="204"/>
      </rPr>
      <t xml:space="preserve">(без электрики)      </t>
    </r>
  </si>
  <si>
    <r>
      <t xml:space="preserve">RAV 4  </t>
    </r>
    <r>
      <rPr>
        <sz val="16"/>
        <color rgb="FFFF0000"/>
        <rFont val="Arial"/>
        <family val="2"/>
        <charset val="204"/>
      </rPr>
      <t>(без электрики</t>
    </r>
    <r>
      <rPr>
        <sz val="16"/>
        <rFont val="Arial"/>
        <family val="2"/>
      </rPr>
      <t>)</t>
    </r>
  </si>
  <si>
    <r>
      <t xml:space="preserve">Venza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</si>
  <si>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Crafter minivan, van </t>
    </r>
    <r>
      <rPr>
        <sz val="16"/>
        <color indexed="10"/>
        <rFont val="Arial"/>
        <family val="2"/>
      </rPr>
      <t xml:space="preserve"> (без электрики)</t>
    </r>
  </si>
  <si>
    <r>
      <t xml:space="preserve">Golf Vl HB                                                                        Golf Vl Plus HB   </t>
    </r>
    <r>
      <rPr>
        <sz val="16"/>
        <color indexed="10"/>
        <rFont val="Arial"/>
        <family val="2"/>
      </rPr>
      <t xml:space="preserve"> (без электрики)</t>
    </r>
  </si>
  <si>
    <r>
      <t xml:space="preserve">Golf V variant,                                         Golf VI variant  </t>
    </r>
    <r>
      <rPr>
        <sz val="16"/>
        <color indexed="10"/>
        <rFont val="Arial"/>
        <family val="2"/>
      </rPr>
      <t>(без электрики)</t>
    </r>
  </si>
  <si>
    <r>
      <t xml:space="preserve">Passat Vl sedan  </t>
    </r>
    <r>
      <rPr>
        <sz val="16"/>
        <color indexed="10"/>
        <rFont val="Arial"/>
        <family val="2"/>
      </rPr>
      <t>(без электрики)</t>
    </r>
  </si>
  <si>
    <r>
      <t xml:space="preserve">Passat B8 sedan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</si>
  <si>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Touareg 4x4  </t>
    </r>
    <r>
      <rPr>
        <sz val="16"/>
        <color indexed="10"/>
        <rFont val="Arial"/>
        <family val="2"/>
      </rPr>
      <t>(без электрики)</t>
    </r>
  </si>
  <si>
    <r>
      <t xml:space="preserve">Touareg 4x4  </t>
    </r>
    <r>
      <rPr>
        <sz val="16"/>
        <color rgb="FFFF0000"/>
        <rFont val="Arial"/>
        <family val="2"/>
        <charset val="204"/>
      </rPr>
      <t xml:space="preserve">(без электрики) </t>
    </r>
  </si>
  <si>
    <r>
      <t xml:space="preserve">Touran minivan  </t>
    </r>
    <r>
      <rPr>
        <sz val="16"/>
        <color indexed="10"/>
        <rFont val="Arial"/>
        <family val="2"/>
      </rPr>
      <t>(без электрики)</t>
    </r>
  </si>
  <si>
    <r>
      <t xml:space="preserve">Transporter T-4 minibus, van </t>
    </r>
    <r>
      <rPr>
        <sz val="16"/>
        <color indexed="10"/>
        <rFont val="Arial"/>
        <family val="2"/>
      </rPr>
      <t>(балка 900мм, без электрики)</t>
    </r>
  </si>
  <si>
    <r>
      <t xml:space="preserve">XC 60-70 </t>
    </r>
    <r>
      <rPr>
        <sz val="16"/>
        <color rgb="FFFF0000"/>
        <rFont val="Arial"/>
        <family val="2"/>
        <charset val="204"/>
      </rPr>
      <t>(без электрики)</t>
    </r>
  </si>
  <si>
    <r>
      <t xml:space="preserve">XC 90 wagon   </t>
    </r>
    <r>
      <rPr>
        <sz val="16"/>
        <color indexed="10"/>
        <rFont val="Arial"/>
        <family val="2"/>
      </rPr>
      <t>(без электрики)</t>
    </r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</si>
</sst>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0&quot; USD&quot;"/>
    <numFmt numFmtId="166" formatCode="000000"/>
  </numFmts>
  <fonts count="86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  <charset val="204"/>
    </font>
    <font>
      <sz val="8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color indexed="10"/>
      <name val="Arial"/>
      <family val="2"/>
    </font>
    <font>
      <sz val="8"/>
      <color indexed="9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8"/>
      <name val="Wingdings 2"/>
      <family val="1"/>
      <charset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8"/>
      <name val="Arial"/>
      <family val="2"/>
      <charset val="204"/>
    </font>
    <font>
      <b/>
      <sz val="28"/>
      <name val="Webdings"/>
      <family val="1"/>
      <charset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  <charset val="204"/>
    </font>
    <font>
      <b/>
      <sz val="18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8"/>
      <name val="Times New Roman"/>
      <family val="1"/>
    </font>
    <font>
      <b/>
      <sz val="8"/>
      <name val="Arial"/>
      <family val="2"/>
      <charset val="204"/>
    </font>
    <font>
      <b/>
      <sz val="10"/>
      <name val="Times New Roman"/>
      <family val="1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2"/>
      <color rgb="FFFF000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8"/>
      <name val="Webdings"/>
      <family val="1"/>
      <charset val="2"/>
    </font>
    <font>
      <b/>
      <sz val="20"/>
      <name val="Arial"/>
      <family val="2"/>
    </font>
    <font>
      <b/>
      <sz val="20"/>
      <name val="Wingdings"/>
      <charset val="2"/>
    </font>
    <font>
      <b/>
      <sz val="20"/>
      <name val="Webdings"/>
      <family val="1"/>
      <charset val="2"/>
    </font>
    <font>
      <sz val="22"/>
      <name val="Webdings"/>
      <family val="1"/>
      <charset val="2"/>
    </font>
    <font>
      <b/>
      <sz val="10"/>
      <name val="Arial"/>
      <family val="2"/>
    </font>
    <font>
      <b/>
      <sz val="14"/>
      <color rgb="FFFF0000"/>
      <name val="Arial"/>
      <family val="2"/>
      <charset val="204"/>
    </font>
    <font>
      <b/>
      <sz val="18"/>
      <name val="Webdings"/>
      <family val="1"/>
      <charset val="2"/>
    </font>
    <font>
      <sz val="18"/>
      <name val="Arial"/>
      <family val="2"/>
      <charset val="204"/>
    </font>
    <font>
      <sz val="18"/>
      <name val="Arial"/>
      <family val="2"/>
    </font>
    <font>
      <b/>
      <sz val="18"/>
      <color indexed="8"/>
      <name val="Arial"/>
      <family val="2"/>
      <charset val="204"/>
    </font>
    <font>
      <sz val="18"/>
      <color indexed="10"/>
      <name val="Arial"/>
      <family val="2"/>
      <charset val="204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b/>
      <sz val="16"/>
      <color indexed="1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6"/>
      <name val="Wingdings 2"/>
      <family val="1"/>
      <charset val="2"/>
    </font>
    <font>
      <sz val="16"/>
      <color indexed="8"/>
      <name val="Arial"/>
      <family val="2"/>
      <charset val="204"/>
    </font>
    <font>
      <sz val="16"/>
      <color indexed="10"/>
      <name val="Arial"/>
      <family val="2"/>
      <charset val="204"/>
    </font>
    <font>
      <sz val="16"/>
      <color indexed="10"/>
      <name val="Arial"/>
      <family val="2"/>
    </font>
    <font>
      <sz val="16"/>
      <color rgb="FFFF0000"/>
      <name val="Arial"/>
      <family val="2"/>
      <charset val="204"/>
    </font>
    <font>
      <sz val="16"/>
      <color rgb="FFFF0000"/>
      <name val="Calibri"/>
      <family val="2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</font>
    <font>
      <sz val="16"/>
      <color rgb="FF000000"/>
      <name val="Arial"/>
      <family val="2"/>
    </font>
    <font>
      <b/>
      <sz val="16"/>
      <color rgb="FFFF0000"/>
      <name val="Arial"/>
      <family val="2"/>
    </font>
    <font>
      <sz val="16"/>
      <color indexed="8"/>
      <name val="Arial"/>
      <family val="2"/>
    </font>
    <font>
      <b/>
      <sz val="16"/>
      <color indexed="10"/>
      <name val="Arial"/>
      <family val="2"/>
      <charset val="204"/>
    </font>
    <font>
      <b/>
      <sz val="16"/>
      <color rgb="FF000000"/>
      <name val="Arial"/>
      <family val="2"/>
    </font>
    <font>
      <sz val="16"/>
      <color rgb="FFFF0000"/>
      <name val="Arial"/>
      <family val="2"/>
    </font>
    <font>
      <b/>
      <sz val="16"/>
      <color theme="0"/>
      <name val="Arial"/>
      <family val="2"/>
      <charset val="204"/>
    </font>
    <font>
      <b/>
      <sz val="18"/>
      <color theme="0"/>
      <name val="Arial"/>
      <family val="2"/>
      <charset val="204"/>
    </font>
    <font>
      <b/>
      <sz val="18"/>
      <color theme="0"/>
      <name val="Times New Roman"/>
      <family val="1"/>
    </font>
    <font>
      <sz val="16"/>
      <color theme="0"/>
      <name val="Arial"/>
      <family val="2"/>
      <charset val="204"/>
    </font>
    <font>
      <b/>
      <sz val="16"/>
      <color theme="0"/>
      <name val="Arial"/>
      <family val="2"/>
    </font>
    <font>
      <b/>
      <sz val="8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>
      <alignment horizontal="left"/>
    </xf>
    <xf numFmtId="0" fontId="45" fillId="0" borderId="0" applyNumberFormat="0" applyFill="0" applyBorder="0" applyAlignment="0" applyProtection="0"/>
  </cellStyleXfs>
  <cellXfs count="906">
    <xf numFmtId="0" fontId="0" fillId="0" borderId="0" xfId="0"/>
    <xf numFmtId="0" fontId="2" fillId="0" borderId="0" xfId="2" applyFill="1" applyBorder="1" applyAlignment="1"/>
    <xf numFmtId="0" fontId="2" fillId="0" borderId="0" xfId="2" applyAlignment="1"/>
    <xf numFmtId="0" fontId="2" fillId="0" borderId="0" xfId="2" applyAlignment="1">
      <alignment vertical="center"/>
    </xf>
    <xf numFmtId="0" fontId="2" fillId="0" borderId="0" xfId="2" applyBorder="1" applyAlignment="1"/>
    <xf numFmtId="0" fontId="2" fillId="0" borderId="0" xfId="2" applyFont="1" applyAlignment="1"/>
    <xf numFmtId="0" fontId="2" fillId="0" borderId="0" xfId="2" applyFill="1" applyAlignment="1"/>
    <xf numFmtId="0" fontId="2" fillId="0" borderId="0" xfId="2" applyFont="1" applyFill="1" applyAlignment="1"/>
    <xf numFmtId="0" fontId="7" fillId="0" borderId="0" xfId="2" applyFont="1" applyAlignment="1"/>
    <xf numFmtId="0" fontId="2" fillId="2" borderId="0" xfId="2" applyFont="1" applyFill="1" applyAlignment="1"/>
    <xf numFmtId="0" fontId="2" fillId="0" borderId="1" xfId="2" applyBorder="1" applyAlignment="1"/>
    <xf numFmtId="0" fontId="7" fillId="0" borderId="1" xfId="2" applyFont="1" applyBorder="1" applyAlignment="1"/>
    <xf numFmtId="0" fontId="10" fillId="2" borderId="0" xfId="2" applyFont="1" applyFill="1" applyAlignment="1"/>
    <xf numFmtId="0" fontId="10" fillId="2" borderId="1" xfId="2" applyFont="1" applyFill="1" applyBorder="1" applyAlignment="1"/>
    <xf numFmtId="0" fontId="2" fillId="2" borderId="0" xfId="2" applyFill="1" applyAlignment="1"/>
    <xf numFmtId="0" fontId="7" fillId="0" borderId="0" xfId="2" applyFont="1" applyBorder="1" applyAlignment="1"/>
    <xf numFmtId="0" fontId="2" fillId="0" borderId="2" xfId="2" applyBorder="1" applyAlignment="1"/>
    <xf numFmtId="0" fontId="2" fillId="2" borderId="1" xfId="2" applyFont="1" applyFill="1" applyBorder="1" applyAlignment="1"/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2" fillId="0" borderId="0" xfId="2" applyFill="1" applyAlignment="1">
      <alignment vertical="center"/>
    </xf>
    <xf numFmtId="0" fontId="6" fillId="2" borderId="0" xfId="2" applyFont="1" applyFill="1" applyAlignment="1"/>
    <xf numFmtId="0" fontId="15" fillId="0" borderId="0" xfId="2" applyFont="1" applyAlignment="1"/>
    <xf numFmtId="0" fontId="11" fillId="0" borderId="0" xfId="2" applyFont="1" applyAlignment="1">
      <alignment horizontal="center"/>
    </xf>
    <xf numFmtId="4" fontId="9" fillId="0" borderId="0" xfId="2" applyNumberFormat="1" applyFont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 wrapText="1"/>
    </xf>
    <xf numFmtId="165" fontId="11" fillId="0" borderId="1" xfId="2" applyNumberFormat="1" applyFont="1" applyFill="1" applyBorder="1" applyAlignment="1">
      <alignment horizontal="center" vertical="center"/>
    </xf>
    <xf numFmtId="165" fontId="11" fillId="0" borderId="1" xfId="2" applyNumberFormat="1" applyFont="1" applyBorder="1" applyAlignment="1">
      <alignment horizontal="center" vertical="center"/>
    </xf>
    <xf numFmtId="4" fontId="9" fillId="2" borderId="0" xfId="2" applyNumberFormat="1" applyFont="1" applyFill="1" applyAlignment="1">
      <alignment horizontal="center" vertical="center"/>
    </xf>
    <xf numFmtId="0" fontId="2" fillId="2" borderId="0" xfId="2" applyFill="1" applyAlignment="1">
      <alignment vertical="center"/>
    </xf>
    <xf numFmtId="0" fontId="2" fillId="2" borderId="0" xfId="2" applyFill="1" applyBorder="1" applyAlignment="1"/>
    <xf numFmtId="0" fontId="14" fillId="2" borderId="0" xfId="2" applyFont="1" applyFill="1" applyAlignment="1">
      <alignment horizontal="center" vertical="center"/>
    </xf>
    <xf numFmtId="0" fontId="15" fillId="2" borderId="0" xfId="2" applyFont="1" applyFill="1" applyAlignment="1"/>
    <xf numFmtId="0" fontId="11" fillId="2" borderId="0" xfId="2" applyFont="1" applyFill="1" applyAlignment="1">
      <alignment horizontal="center"/>
    </xf>
    <xf numFmtId="4" fontId="2" fillId="2" borderId="0" xfId="2" applyNumberFormat="1" applyFill="1" applyAlignment="1">
      <alignment horizontal="center" vertical="center"/>
    </xf>
    <xf numFmtId="0" fontId="16" fillId="2" borderId="0" xfId="2" applyFont="1" applyFill="1" applyBorder="1" applyAlignment="1"/>
    <xf numFmtId="0" fontId="16" fillId="0" borderId="0" xfId="2" applyFont="1" applyFill="1" applyBorder="1" applyAlignment="1"/>
    <xf numFmtId="0" fontId="16" fillId="3" borderId="0" xfId="2" applyFont="1" applyFill="1" applyBorder="1" applyAlignment="1"/>
    <xf numFmtId="0" fontId="2" fillId="0" borderId="0" xfId="2" applyFont="1" applyFill="1" applyAlignment="1">
      <alignment horizontal="left"/>
    </xf>
    <xf numFmtId="0" fontId="12" fillId="0" borderId="1" xfId="2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14" fontId="12" fillId="0" borderId="1" xfId="2" applyNumberFormat="1" applyFont="1" applyFill="1" applyBorder="1" applyAlignment="1">
      <alignment horizontal="center" vertical="center" wrapText="1"/>
    </xf>
    <xf numFmtId="0" fontId="16" fillId="0" borderId="0" xfId="2" applyFont="1" applyAlignment="1"/>
    <xf numFmtId="0" fontId="13" fillId="0" borderId="0" xfId="2" applyFont="1" applyFill="1" applyAlignment="1">
      <alignment vertical="center"/>
    </xf>
    <xf numFmtId="0" fontId="18" fillId="0" borderId="0" xfId="2" applyFont="1" applyFill="1" applyAlignment="1"/>
    <xf numFmtId="0" fontId="19" fillId="2" borderId="0" xfId="2" applyFont="1" applyFill="1" applyAlignment="1"/>
    <xf numFmtId="0" fontId="16" fillId="2" borderId="0" xfId="2" applyFont="1" applyFill="1" applyAlignment="1"/>
    <xf numFmtId="0" fontId="16" fillId="3" borderId="0" xfId="2" applyFont="1" applyFill="1" applyAlignment="1"/>
    <xf numFmtId="0" fontId="19" fillId="3" borderId="0" xfId="2" applyFont="1" applyFill="1" applyAlignment="1"/>
    <xf numFmtId="0" fontId="20" fillId="3" borderId="0" xfId="2" applyFont="1" applyFill="1" applyAlignment="1"/>
    <xf numFmtId="0" fontId="7" fillId="2" borderId="0" xfId="2" applyFont="1" applyFill="1" applyAlignment="1"/>
    <xf numFmtId="0" fontId="20" fillId="2" borderId="0" xfId="2" applyFont="1" applyFill="1" applyAlignment="1"/>
    <xf numFmtId="0" fontId="6" fillId="2" borderId="0" xfId="2" applyFont="1" applyFill="1" applyBorder="1" applyAlignment="1"/>
    <xf numFmtId="0" fontId="13" fillId="2" borderId="0" xfId="2" applyFont="1" applyFill="1" applyBorder="1" applyAlignment="1">
      <alignment horizontal="left" vertical="center"/>
    </xf>
    <xf numFmtId="0" fontId="2" fillId="2" borderId="0" xfId="2" applyFont="1" applyFill="1" applyAlignment="1">
      <alignment horizontal="left"/>
    </xf>
    <xf numFmtId="0" fontId="17" fillId="2" borderId="0" xfId="2" applyFont="1" applyFill="1" applyBorder="1" applyAlignment="1">
      <alignment horizontal="left" vertical="center"/>
    </xf>
    <xf numFmtId="0" fontId="13" fillId="2" borderId="0" xfId="2" applyFont="1" applyFill="1" applyAlignment="1">
      <alignment vertical="center"/>
    </xf>
    <xf numFmtId="0" fontId="18" fillId="2" borderId="0" xfId="2" applyFont="1" applyFill="1" applyAlignment="1"/>
    <xf numFmtId="0" fontId="5" fillId="2" borderId="0" xfId="2" applyFont="1" applyFill="1" applyAlignment="1">
      <alignment vertical="center"/>
    </xf>
    <xf numFmtId="0" fontId="5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/>
    </xf>
    <xf numFmtId="0" fontId="6" fillId="2" borderId="0" xfId="2" applyFont="1" applyFill="1" applyAlignment="1">
      <alignment horizontal="left"/>
    </xf>
    <xf numFmtId="0" fontId="14" fillId="2" borderId="0" xfId="2" applyFont="1" applyFill="1" applyBorder="1" applyAlignment="1">
      <alignment horizontal="left" vertical="center"/>
    </xf>
    <xf numFmtId="0" fontId="11" fillId="2" borderId="0" xfId="2" applyFont="1" applyFill="1" applyBorder="1" applyAlignment="1">
      <alignment horizontal="center" vertical="center"/>
    </xf>
    <xf numFmtId="4" fontId="9" fillId="2" borderId="0" xfId="2" applyNumberFormat="1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 wrapText="1"/>
    </xf>
    <xf numFmtId="0" fontId="16" fillId="0" borderId="0" xfId="2" applyFont="1" applyFill="1" applyAlignment="1"/>
    <xf numFmtId="0" fontId="10" fillId="2" borderId="0" xfId="2" applyFont="1" applyFill="1" applyBorder="1" applyAlignment="1"/>
    <xf numFmtId="0" fontId="11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7" fillId="2" borderId="0" xfId="2" applyFont="1" applyFill="1">
      <alignment horizontal="left"/>
    </xf>
    <xf numFmtId="0" fontId="7" fillId="0" borderId="0" xfId="2" applyFont="1">
      <alignment horizontal="left"/>
    </xf>
    <xf numFmtId="0" fontId="2" fillId="0" borderId="0" xfId="2">
      <alignment horizontal="left"/>
    </xf>
    <xf numFmtId="0" fontId="2" fillId="2" borderId="0" xfId="2" applyFill="1">
      <alignment horizontal="left"/>
    </xf>
    <xf numFmtId="0" fontId="2" fillId="0" borderId="0" xfId="2" applyBorder="1">
      <alignment horizontal="left"/>
    </xf>
    <xf numFmtId="14" fontId="12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top" wrapText="1"/>
    </xf>
    <xf numFmtId="0" fontId="23" fillId="2" borderId="0" xfId="2" applyFont="1" applyFill="1">
      <alignment horizontal="left"/>
    </xf>
    <xf numFmtId="4" fontId="11" fillId="0" borderId="1" xfId="2" applyNumberFormat="1" applyFont="1" applyFill="1" applyBorder="1" applyAlignment="1">
      <alignment horizontal="center" vertical="center" wrapText="1"/>
    </xf>
    <xf numFmtId="4" fontId="25" fillId="0" borderId="1" xfId="2" applyNumberFormat="1" applyFont="1" applyFill="1" applyBorder="1" applyAlignment="1">
      <alignment horizontal="center" vertical="center"/>
    </xf>
    <xf numFmtId="165" fontId="26" fillId="0" borderId="3" xfId="2" applyNumberFormat="1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horizontal="center" vertical="center"/>
    </xf>
    <xf numFmtId="165" fontId="26" fillId="2" borderId="3" xfId="2" applyNumberFormat="1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horizontal="center"/>
    </xf>
    <xf numFmtId="0" fontId="26" fillId="2" borderId="3" xfId="2" applyFont="1" applyFill="1" applyBorder="1" applyAlignment="1">
      <alignment horizontal="center"/>
    </xf>
    <xf numFmtId="0" fontId="23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/>
    </xf>
    <xf numFmtId="0" fontId="23" fillId="0" borderId="3" xfId="2" applyNumberFormat="1" applyFont="1" applyFill="1" applyBorder="1" applyAlignment="1">
      <alignment horizontal="center" vertical="center"/>
    </xf>
    <xf numFmtId="0" fontId="23" fillId="0" borderId="1" xfId="2" applyNumberFormat="1" applyFont="1" applyFill="1" applyBorder="1" applyAlignment="1">
      <alignment horizontal="center" vertical="center"/>
    </xf>
    <xf numFmtId="0" fontId="23" fillId="2" borderId="3" xfId="2" applyNumberFormat="1" applyFont="1" applyFill="1" applyBorder="1" applyAlignment="1">
      <alignment horizontal="center" vertical="center"/>
    </xf>
    <xf numFmtId="49" fontId="12" fillId="2" borderId="3" xfId="2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4" fontId="25" fillId="2" borderId="1" xfId="2" applyNumberFormat="1" applyFont="1" applyFill="1" applyBorder="1" applyAlignment="1">
      <alignment horizontal="center" vertical="center"/>
    </xf>
    <xf numFmtId="0" fontId="6" fillId="0" borderId="3" xfId="2" applyNumberFormat="1" applyFont="1" applyFill="1" applyBorder="1" applyAlignment="1">
      <alignment horizontal="center" vertical="center"/>
    </xf>
    <xf numFmtId="4" fontId="11" fillId="0" borderId="1" xfId="2" applyNumberFormat="1" applyFont="1" applyBorder="1" applyAlignment="1">
      <alignment horizontal="center" vertical="center"/>
    </xf>
    <xf numFmtId="14" fontId="6" fillId="2" borderId="1" xfId="2" applyNumberFormat="1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top" wrapText="1"/>
    </xf>
    <xf numFmtId="0" fontId="11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top" wrapText="1"/>
    </xf>
    <xf numFmtId="14" fontId="12" fillId="2" borderId="0" xfId="2" applyNumberFormat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top" wrapText="1"/>
    </xf>
    <xf numFmtId="14" fontId="11" fillId="2" borderId="0" xfId="2" applyNumberFormat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/>
    </xf>
    <xf numFmtId="165" fontId="11" fillId="2" borderId="0" xfId="2" applyNumberFormat="1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horizontal="center" vertical="center" wrapText="1"/>
    </xf>
    <xf numFmtId="49" fontId="23" fillId="0" borderId="3" xfId="2" applyNumberFormat="1" applyFont="1" applyFill="1" applyBorder="1" applyAlignment="1">
      <alignment horizontal="center" vertical="center"/>
    </xf>
    <xf numFmtId="49" fontId="23" fillId="0" borderId="1" xfId="2" applyNumberFormat="1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0" fontId="6" fillId="0" borderId="3" xfId="2" applyNumberFormat="1" applyFont="1" applyFill="1" applyBorder="1" applyAlignment="1">
      <alignment horizontal="center" vertical="center" wrapText="1"/>
    </xf>
    <xf numFmtId="0" fontId="7" fillId="2" borderId="0" xfId="2" applyFont="1" applyFill="1" applyBorder="1">
      <alignment horizontal="left"/>
    </xf>
    <xf numFmtId="0" fontId="6" fillId="2" borderId="0" xfId="2" applyFont="1" applyFill="1">
      <alignment horizontal="left"/>
    </xf>
    <xf numFmtId="0" fontId="21" fillId="2" borderId="0" xfId="2" applyFont="1" applyFill="1" applyBorder="1">
      <alignment horizontal="left"/>
    </xf>
    <xf numFmtId="0" fontId="22" fillId="2" borderId="0" xfId="2" applyFont="1" applyFill="1">
      <alignment horizontal="left"/>
    </xf>
    <xf numFmtId="0" fontId="16" fillId="2" borderId="0" xfId="2" applyFont="1" applyFill="1">
      <alignment horizontal="left"/>
    </xf>
    <xf numFmtId="0" fontId="16" fillId="0" borderId="0" xfId="2" applyFont="1">
      <alignment horizontal="left"/>
    </xf>
    <xf numFmtId="0" fontId="16" fillId="3" borderId="0" xfId="2" applyFont="1" applyFill="1">
      <alignment horizontal="left"/>
    </xf>
    <xf numFmtId="4" fontId="25" fillId="0" borderId="3" xfId="2" applyNumberFormat="1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49" fontId="23" fillId="2" borderId="3" xfId="2" applyNumberFormat="1" applyFont="1" applyFill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49" fontId="23" fillId="0" borderId="3" xfId="2" applyNumberFormat="1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/>
    <xf numFmtId="0" fontId="22" fillId="3" borderId="0" xfId="2" applyFont="1" applyFill="1" applyBorder="1" applyAlignment="1"/>
    <xf numFmtId="0" fontId="6" fillId="0" borderId="0" xfId="2" applyFont="1" applyBorder="1" applyAlignment="1"/>
    <xf numFmtId="0" fontId="11" fillId="4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/>
    </xf>
    <xf numFmtId="0" fontId="11" fillId="4" borderId="1" xfId="2" applyFont="1" applyFill="1" applyBorder="1" applyAlignment="1">
      <alignment vertical="top" wrapText="1"/>
    </xf>
    <xf numFmtId="0" fontId="11" fillId="4" borderId="1" xfId="2" applyFont="1" applyFill="1" applyBorder="1" applyAlignment="1">
      <alignment horizontal="left" vertical="top" wrapText="1" indent="2"/>
    </xf>
    <xf numFmtId="0" fontId="9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vertical="center" wrapText="1"/>
    </xf>
    <xf numFmtId="166" fontId="8" fillId="4" borderId="1" xfId="2" applyNumberFormat="1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left" vertical="top" wrapText="1" indent="2"/>
    </xf>
    <xf numFmtId="0" fontId="11" fillId="4" borderId="3" xfId="2" applyFont="1" applyFill="1" applyBorder="1" applyAlignment="1">
      <alignment horizontal="left" vertical="top" wrapText="1"/>
    </xf>
    <xf numFmtId="14" fontId="6" fillId="4" borderId="1" xfId="2" applyNumberFormat="1" applyFont="1" applyFill="1" applyBorder="1" applyAlignment="1">
      <alignment horizontal="center" vertical="center" wrapText="1"/>
    </xf>
    <xf numFmtId="166" fontId="23" fillId="4" borderId="1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top" wrapText="1"/>
    </xf>
    <xf numFmtId="0" fontId="26" fillId="4" borderId="1" xfId="2" applyFont="1" applyFill="1" applyBorder="1" applyAlignment="1">
      <alignment horizontal="center"/>
    </xf>
    <xf numFmtId="0" fontId="8" fillId="4" borderId="1" xfId="2" applyNumberFormat="1" applyFont="1" applyFill="1" applyBorder="1" applyAlignment="1">
      <alignment horizontal="center" vertical="center"/>
    </xf>
    <xf numFmtId="0" fontId="8" fillId="4" borderId="1" xfId="2" applyNumberFormat="1" applyFont="1" applyFill="1" applyBorder="1" applyAlignment="1">
      <alignment horizontal="center"/>
    </xf>
    <xf numFmtId="0" fontId="9" fillId="4" borderId="3" xfId="2" applyFont="1" applyFill="1" applyBorder="1" applyAlignment="1">
      <alignment horizontal="center"/>
    </xf>
    <xf numFmtId="0" fontId="26" fillId="4" borderId="3" xfId="2" applyFont="1" applyFill="1" applyBorder="1" applyAlignment="1">
      <alignment horizontal="center"/>
    </xf>
    <xf numFmtId="0" fontId="8" fillId="4" borderId="3" xfId="2" applyNumberFormat="1" applyFont="1" applyFill="1" applyBorder="1" applyAlignment="1">
      <alignment horizontal="center" vertical="center"/>
    </xf>
    <xf numFmtId="0" fontId="8" fillId="4" borderId="3" xfId="2" applyNumberFormat="1" applyFont="1" applyFill="1" applyBorder="1" applyAlignment="1">
      <alignment horizontal="center"/>
    </xf>
    <xf numFmtId="0" fontId="11" fillId="4" borderId="1" xfId="2" applyFont="1" applyFill="1" applyBorder="1" applyAlignment="1">
      <alignment horizontal="center" vertical="center" wrapText="1"/>
    </xf>
    <xf numFmtId="165" fontId="11" fillId="4" borderId="1" xfId="2" applyNumberFormat="1" applyFont="1" applyFill="1" applyBorder="1" applyAlignment="1">
      <alignment horizontal="center" vertical="center"/>
    </xf>
    <xf numFmtId="165" fontId="26" fillId="4" borderId="3" xfId="2" applyNumberFormat="1" applyFont="1" applyFill="1" applyBorder="1" applyAlignment="1">
      <alignment horizontal="center" vertical="center"/>
    </xf>
    <xf numFmtId="165" fontId="26" fillId="4" borderId="1" xfId="2" applyNumberFormat="1" applyFont="1" applyFill="1" applyBorder="1" applyAlignment="1">
      <alignment horizontal="center" vertical="center"/>
    </xf>
    <xf numFmtId="0" fontId="6" fillId="4" borderId="1" xfId="2" applyNumberFormat="1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/>
    </xf>
    <xf numFmtId="0" fontId="11" fillId="4" borderId="3" xfId="2" applyFont="1" applyFill="1" applyBorder="1" applyAlignment="1">
      <alignment vertical="top" wrapText="1"/>
    </xf>
    <xf numFmtId="0" fontId="27" fillId="4" borderId="1" xfId="2" applyFont="1" applyFill="1" applyBorder="1" applyAlignment="1">
      <alignment horizontal="center"/>
    </xf>
    <xf numFmtId="0" fontId="6" fillId="4" borderId="1" xfId="2" applyNumberFormat="1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 vertical="center" wrapText="1"/>
    </xf>
    <xf numFmtId="0" fontId="23" fillId="2" borderId="5" xfId="2" applyNumberFormat="1" applyFont="1" applyFill="1" applyBorder="1" applyAlignment="1">
      <alignment horizontal="center" vertical="center"/>
    </xf>
    <xf numFmtId="0" fontId="23" fillId="2" borderId="7" xfId="2" applyNumberFormat="1" applyFont="1" applyFill="1" applyBorder="1" applyAlignment="1">
      <alignment horizontal="center" vertical="center"/>
    </xf>
    <xf numFmtId="4" fontId="9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top" wrapText="1"/>
    </xf>
    <xf numFmtId="4" fontId="25" fillId="0" borderId="4" xfId="2" applyNumberFormat="1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 wrapText="1"/>
    </xf>
    <xf numFmtId="165" fontId="11" fillId="4" borderId="2" xfId="2" applyNumberFormat="1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 wrapText="1"/>
    </xf>
    <xf numFmtId="165" fontId="26" fillId="4" borderId="2" xfId="2" applyNumberFormat="1" applyFont="1" applyFill="1" applyBorder="1" applyAlignment="1">
      <alignment horizontal="center" vertical="center"/>
    </xf>
    <xf numFmtId="0" fontId="8" fillId="4" borderId="2" xfId="2" applyNumberFormat="1" applyFont="1" applyFill="1" applyBorder="1" applyAlignment="1">
      <alignment horizontal="center" vertical="center"/>
    </xf>
    <xf numFmtId="0" fontId="23" fillId="2" borderId="4" xfId="2" applyNumberFormat="1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/>
    </xf>
    <xf numFmtId="0" fontId="11" fillId="4" borderId="2" xfId="2" applyFont="1" applyFill="1" applyBorder="1" applyAlignment="1">
      <alignment horizontal="center" vertical="top" wrapText="1"/>
    </xf>
    <xf numFmtId="0" fontId="12" fillId="0" borderId="9" xfId="2" applyFont="1" applyFill="1" applyBorder="1" applyAlignment="1">
      <alignment horizontal="center" vertical="center" wrapText="1"/>
    </xf>
    <xf numFmtId="165" fontId="11" fillId="0" borderId="3" xfId="2" applyNumberFormat="1" applyFont="1" applyFill="1" applyBorder="1" applyAlignment="1">
      <alignment horizontal="center" vertical="center"/>
    </xf>
    <xf numFmtId="0" fontId="23" fillId="0" borderId="5" xfId="2" applyNumberFormat="1" applyFont="1" applyFill="1" applyBorder="1" applyAlignment="1">
      <alignment horizontal="center" vertical="center"/>
    </xf>
    <xf numFmtId="165" fontId="11" fillId="0" borderId="2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0" fontId="6" fillId="2" borderId="3" xfId="2" applyNumberFormat="1" applyFont="1" applyFill="1" applyBorder="1" applyAlignment="1">
      <alignment horizontal="center" vertical="center"/>
    </xf>
    <xf numFmtId="0" fontId="6" fillId="2" borderId="6" xfId="2" applyNumberFormat="1" applyFont="1" applyFill="1" applyBorder="1" applyAlignment="1">
      <alignment horizontal="center" vertical="center"/>
    </xf>
    <xf numFmtId="0" fontId="6" fillId="2" borderId="4" xfId="2" applyNumberFormat="1" applyFont="1" applyFill="1" applyBorder="1" applyAlignment="1">
      <alignment horizontal="center" vertical="center"/>
    </xf>
    <xf numFmtId="0" fontId="38" fillId="0" borderId="0" xfId="2" applyFont="1" applyFill="1" applyAlignment="1"/>
    <xf numFmtId="0" fontId="25" fillId="0" borderId="1" xfId="0" applyFont="1" applyBorder="1" applyAlignment="1">
      <alignment horizontal="center" vertical="top" wrapText="1"/>
    </xf>
    <xf numFmtId="0" fontId="27" fillId="0" borderId="3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0" fontId="7" fillId="0" borderId="0" xfId="2" applyFont="1" applyFill="1" applyAlignment="1"/>
    <xf numFmtId="0" fontId="12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left" vertical="center" wrapText="1"/>
    </xf>
    <xf numFmtId="3" fontId="22" fillId="2" borderId="0" xfId="2" applyNumberFormat="1" applyFont="1" applyFill="1" applyAlignment="1">
      <alignment horizontal="center" vertical="center"/>
    </xf>
    <xf numFmtId="3" fontId="24" fillId="0" borderId="1" xfId="2" applyNumberFormat="1" applyFont="1" applyFill="1" applyBorder="1" applyAlignment="1">
      <alignment horizontal="center" vertical="center"/>
    </xf>
    <xf numFmtId="3" fontId="22" fillId="2" borderId="0" xfId="2" applyNumberFormat="1" applyFont="1" applyFill="1" applyBorder="1" applyAlignment="1">
      <alignment horizontal="center" vertical="center"/>
    </xf>
    <xf numFmtId="3" fontId="22" fillId="0" borderId="0" xfId="2" applyNumberFormat="1" applyFont="1" applyFill="1" applyAlignment="1">
      <alignment horizontal="center" vertical="center"/>
    </xf>
    <xf numFmtId="3" fontId="2" fillId="0" borderId="0" xfId="2" applyNumberFormat="1" applyFont="1" applyFill="1" applyAlignment="1">
      <alignment horizontal="center"/>
    </xf>
    <xf numFmtId="3" fontId="2" fillId="2" borderId="0" xfId="2" applyNumberFormat="1" applyFont="1" applyFill="1" applyAlignment="1">
      <alignment horizontal="center"/>
    </xf>
    <xf numFmtId="3" fontId="3" fillId="2" borderId="0" xfId="2" applyNumberFormat="1" applyFont="1" applyFill="1" applyBorder="1" applyAlignment="1">
      <alignment horizontal="center"/>
    </xf>
    <xf numFmtId="3" fontId="6" fillId="2" borderId="0" xfId="2" applyNumberFormat="1" applyFont="1" applyFill="1" applyAlignment="1">
      <alignment horizontal="center"/>
    </xf>
    <xf numFmtId="3" fontId="39" fillId="0" borderId="0" xfId="2" applyNumberFormat="1" applyFont="1" applyFill="1" applyAlignment="1">
      <alignment horizontal="center"/>
    </xf>
    <xf numFmtId="3" fontId="39" fillId="2" borderId="0" xfId="2" applyNumberFormat="1" applyFont="1" applyFill="1" applyAlignment="1">
      <alignment horizontal="center"/>
    </xf>
    <xf numFmtId="3" fontId="40" fillId="2" borderId="0" xfId="2" applyNumberFormat="1" applyFont="1" applyFill="1" applyBorder="1" applyAlignment="1">
      <alignment horizontal="center"/>
    </xf>
    <xf numFmtId="164" fontId="11" fillId="0" borderId="1" xfId="1" applyFont="1" applyFill="1" applyBorder="1" applyAlignment="1">
      <alignment horizontal="center" vertical="center"/>
    </xf>
    <xf numFmtId="164" fontId="12" fillId="0" borderId="1" xfId="1" applyFont="1" applyFill="1" applyBorder="1" applyAlignment="1">
      <alignment horizontal="center" vertical="top" wrapText="1"/>
    </xf>
    <xf numFmtId="164" fontId="25" fillId="0" borderId="1" xfId="1" applyFont="1" applyFill="1" applyBorder="1" applyAlignment="1">
      <alignment horizontal="center" vertical="center"/>
    </xf>
    <xf numFmtId="164" fontId="23" fillId="2" borderId="3" xfId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3" fontId="17" fillId="2" borderId="0" xfId="2" applyNumberFormat="1" applyFont="1" applyFill="1" applyBorder="1" applyAlignment="1">
      <alignment horizontal="left" vertical="center"/>
    </xf>
    <xf numFmtId="3" fontId="2" fillId="2" borderId="0" xfId="2" applyNumberFormat="1" applyFont="1" applyFill="1" applyAlignment="1"/>
    <xf numFmtId="3" fontId="3" fillId="2" borderId="0" xfId="2" applyNumberFormat="1" applyFont="1" applyFill="1" applyBorder="1" applyAlignment="1">
      <alignment horizontal="center" vertical="center"/>
    </xf>
    <xf numFmtId="3" fontId="2" fillId="0" borderId="0" xfId="2" applyNumberFormat="1" applyFont="1" applyFill="1" applyAlignment="1"/>
    <xf numFmtId="0" fontId="2" fillId="2" borderId="0" xfId="2" applyNumberFormat="1" applyFont="1" applyFill="1" applyAlignment="1">
      <alignment horizontal="left"/>
    </xf>
    <xf numFmtId="0" fontId="11" fillId="4" borderId="1" xfId="2" applyNumberFormat="1" applyFont="1" applyFill="1" applyBorder="1" applyAlignment="1">
      <alignment horizontal="left" vertical="top" wrapText="1"/>
    </xf>
    <xf numFmtId="0" fontId="12" fillId="0" borderId="1" xfId="2" applyNumberFormat="1" applyFont="1" applyFill="1" applyBorder="1" applyAlignment="1">
      <alignment horizontal="left" vertical="center" wrapText="1"/>
    </xf>
    <xf numFmtId="0" fontId="34" fillId="0" borderId="1" xfId="0" applyNumberFormat="1" applyFont="1" applyBorder="1" applyAlignment="1">
      <alignment vertical="center" wrapText="1"/>
    </xf>
    <xf numFmtId="0" fontId="22" fillId="4" borderId="1" xfId="2" applyNumberFormat="1" applyFont="1" applyFill="1" applyBorder="1" applyAlignment="1">
      <alignment horizontal="left" vertical="center" wrapText="1"/>
    </xf>
    <xf numFmtId="0" fontId="12" fillId="0" borderId="2" xfId="2" applyNumberFormat="1" applyFont="1" applyFill="1" applyBorder="1" applyAlignment="1">
      <alignment horizontal="left" vertical="center" wrapText="1"/>
    </xf>
    <xf numFmtId="0" fontId="22" fillId="4" borderId="2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11" fillId="4" borderId="1" xfId="2" applyNumberFormat="1" applyFont="1" applyFill="1" applyBorder="1" applyAlignment="1">
      <alignment horizontal="left" vertical="center" wrapText="1"/>
    </xf>
    <xf numFmtId="0" fontId="12" fillId="2" borderId="1" xfId="2" applyNumberFormat="1" applyFont="1" applyFill="1" applyBorder="1" applyAlignment="1">
      <alignment horizontal="left" vertical="center" wrapText="1"/>
    </xf>
    <xf numFmtId="0" fontId="6" fillId="0" borderId="1" xfId="2" applyNumberFormat="1" applyFont="1" applyFill="1" applyBorder="1" applyAlignment="1">
      <alignment horizontal="left" vertical="center" wrapText="1"/>
    </xf>
    <xf numFmtId="0" fontId="23" fillId="2" borderId="1" xfId="0" applyNumberFormat="1" applyFont="1" applyFill="1" applyBorder="1" applyAlignment="1">
      <alignment vertical="center" wrapText="1"/>
    </xf>
    <xf numFmtId="0" fontId="12" fillId="0" borderId="1" xfId="2" applyNumberFormat="1" applyFont="1" applyFill="1" applyBorder="1" applyAlignment="1">
      <alignment horizontal="left" vertical="top" wrapText="1"/>
    </xf>
    <xf numFmtId="0" fontId="11" fillId="4" borderId="2" xfId="2" applyNumberFormat="1" applyFont="1" applyFill="1" applyBorder="1" applyAlignment="1">
      <alignment horizontal="left" vertical="top" wrapText="1"/>
    </xf>
    <xf numFmtId="0" fontId="11" fillId="4" borderId="3" xfId="2" applyNumberFormat="1" applyFont="1" applyFill="1" applyBorder="1" applyAlignment="1">
      <alignment vertical="top" wrapText="1"/>
    </xf>
    <xf numFmtId="0" fontId="2" fillId="0" borderId="0" xfId="2" applyNumberFormat="1" applyFont="1" applyFill="1" applyAlignment="1">
      <alignment horizontal="left"/>
    </xf>
    <xf numFmtId="4" fontId="11" fillId="0" borderId="3" xfId="2" applyNumberFormat="1" applyFont="1" applyFill="1" applyBorder="1" applyAlignment="1">
      <alignment horizontal="center" vertical="center" wrapText="1"/>
    </xf>
    <xf numFmtId="0" fontId="23" fillId="4" borderId="3" xfId="2" applyFont="1" applyFill="1" applyBorder="1" applyAlignment="1">
      <alignment horizontal="center" vertical="center"/>
    </xf>
    <xf numFmtId="3" fontId="32" fillId="4" borderId="2" xfId="2" applyNumberFormat="1" applyFont="1" applyFill="1" applyBorder="1" applyAlignment="1">
      <alignment horizontal="center"/>
    </xf>
    <xf numFmtId="3" fontId="22" fillId="0" borderId="16" xfId="2" applyNumberFormat="1" applyFont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 wrapText="1"/>
    </xf>
    <xf numFmtId="4" fontId="6" fillId="2" borderId="0" xfId="2" applyNumberFormat="1" applyFont="1" applyFill="1">
      <alignment horizontal="left"/>
    </xf>
    <xf numFmtId="3" fontId="11" fillId="4" borderId="1" xfId="2" applyNumberFormat="1" applyFont="1" applyFill="1" applyBorder="1" applyAlignment="1">
      <alignment horizontal="center"/>
    </xf>
    <xf numFmtId="3" fontId="24" fillId="2" borderId="1" xfId="2" applyNumberFormat="1" applyFont="1" applyFill="1" applyBorder="1" applyAlignment="1">
      <alignment horizontal="center" vertical="center"/>
    </xf>
    <xf numFmtId="3" fontId="11" fillId="4" borderId="2" xfId="2" applyNumberFormat="1" applyFont="1" applyFill="1" applyBorder="1" applyAlignment="1">
      <alignment horizontal="center"/>
    </xf>
    <xf numFmtId="3" fontId="11" fillId="0" borderId="16" xfId="2" applyNumberFormat="1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left" vertical="top" wrapText="1"/>
    </xf>
    <xf numFmtId="0" fontId="12" fillId="4" borderId="1" xfId="2" applyFont="1" applyFill="1" applyBorder="1" applyAlignment="1">
      <alignment horizontal="left" vertical="center" wrapText="1"/>
    </xf>
    <xf numFmtId="3" fontId="23" fillId="4" borderId="1" xfId="2" applyNumberFormat="1" applyFont="1" applyFill="1" applyBorder="1" applyAlignment="1">
      <alignment horizontal="center"/>
    </xf>
    <xf numFmtId="0" fontId="29" fillId="0" borderId="3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top" wrapText="1"/>
    </xf>
    <xf numFmtId="0" fontId="12" fillId="0" borderId="3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3" fontId="11" fillId="0" borderId="15" xfId="2" applyNumberFormat="1" applyFont="1" applyFill="1" applyBorder="1" applyAlignment="1">
      <alignment horizontal="center" vertical="center" wrapText="1"/>
    </xf>
    <xf numFmtId="3" fontId="11" fillId="4" borderId="18" xfId="2" applyNumberFormat="1" applyFont="1" applyFill="1" applyBorder="1" applyAlignment="1">
      <alignment horizontal="center" vertical="top" wrapText="1"/>
    </xf>
    <xf numFmtId="3" fontId="22" fillId="0" borderId="18" xfId="2" applyNumberFormat="1" applyFont="1" applyFill="1" applyBorder="1" applyAlignment="1">
      <alignment horizontal="center" vertical="center" wrapText="1"/>
    </xf>
    <xf numFmtId="3" fontId="12" fillId="4" borderId="18" xfId="2" applyNumberFormat="1" applyFont="1" applyFill="1" applyBorder="1" applyAlignment="1">
      <alignment horizontal="center" vertical="center" wrapText="1"/>
    </xf>
    <xf numFmtId="3" fontId="12" fillId="0" borderId="19" xfId="2" applyNumberFormat="1" applyFont="1" applyFill="1" applyBorder="1" applyAlignment="1">
      <alignment horizontal="center" vertical="center" wrapText="1"/>
    </xf>
    <xf numFmtId="3" fontId="23" fillId="2" borderId="14" xfId="2" applyNumberFormat="1" applyFont="1" applyFill="1" applyBorder="1" applyAlignment="1">
      <alignment horizontal="center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2" fillId="9" borderId="1" xfId="2" applyFont="1" applyFill="1" applyBorder="1" applyAlignment="1">
      <alignment horizontal="center" vertical="center" wrapText="1"/>
    </xf>
    <xf numFmtId="165" fontId="26" fillId="2" borderId="1" xfId="2" applyNumberFormat="1" applyFont="1" applyFill="1" applyBorder="1" applyAlignment="1">
      <alignment horizontal="center" vertical="center"/>
    </xf>
    <xf numFmtId="4" fontId="25" fillId="2" borderId="5" xfId="2" applyNumberFormat="1" applyFont="1" applyFill="1" applyBorder="1" applyAlignment="1">
      <alignment horizontal="center" vertical="center"/>
    </xf>
    <xf numFmtId="4" fontId="25" fillId="2" borderId="3" xfId="2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top" wrapText="1"/>
    </xf>
    <xf numFmtId="0" fontId="12" fillId="0" borderId="2" xfId="0" applyNumberFormat="1" applyFont="1" applyBorder="1" applyAlignment="1">
      <alignment vertical="center" wrapText="1"/>
    </xf>
    <xf numFmtId="0" fontId="11" fillId="0" borderId="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/>
    <xf numFmtId="0" fontId="2" fillId="2" borderId="0" xfId="2" applyFont="1" applyFill="1" applyBorder="1" applyAlignment="1"/>
    <xf numFmtId="0" fontId="38" fillId="2" borderId="0" xfId="2" applyFont="1" applyFill="1" applyBorder="1" applyAlignment="1"/>
    <xf numFmtId="3" fontId="18" fillId="2" borderId="0" xfId="2" applyNumberFormat="1" applyFont="1" applyFill="1" applyBorder="1" applyAlignment="1"/>
    <xf numFmtId="3" fontId="39" fillId="2" borderId="0" xfId="2" applyNumberFormat="1" applyFont="1" applyFill="1" applyBorder="1" applyAlignment="1">
      <alignment horizontal="center"/>
    </xf>
    <xf numFmtId="0" fontId="0" fillId="0" borderId="0" xfId="0" applyBorder="1"/>
    <xf numFmtId="0" fontId="12" fillId="0" borderId="1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41" fillId="2" borderId="0" xfId="2" applyFont="1" applyFill="1" applyAlignment="1">
      <alignment horizontal="left" vertical="top"/>
    </xf>
    <xf numFmtId="0" fontId="6" fillId="2" borderId="3" xfId="2" applyFont="1" applyFill="1" applyBorder="1" applyAlignment="1">
      <alignment horizontal="center" vertical="top" wrapText="1"/>
    </xf>
    <xf numFmtId="14" fontId="6" fillId="2" borderId="3" xfId="2" applyNumberFormat="1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165" fontId="9" fillId="9" borderId="6" xfId="2" applyNumberFormat="1" applyFont="1" applyFill="1" applyBorder="1" applyAlignment="1">
      <alignment horizontal="center" vertical="center"/>
    </xf>
    <xf numFmtId="165" fontId="9" fillId="6" borderId="6" xfId="2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vertical="center"/>
    </xf>
    <xf numFmtId="165" fontId="9" fillId="0" borderId="6" xfId="2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/>
    </xf>
    <xf numFmtId="0" fontId="47" fillId="0" borderId="1" xfId="2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45" fillId="2" borderId="3" xfId="3" applyFill="1" applyBorder="1" applyAlignment="1">
      <alignment horizontal="center" vertical="center" wrapText="1"/>
    </xf>
    <xf numFmtId="0" fontId="50" fillId="4" borderId="1" xfId="0" applyFont="1" applyFill="1" applyBorder="1" applyAlignment="1">
      <alignment horizontal="center" vertical="center"/>
    </xf>
    <xf numFmtId="0" fontId="45" fillId="4" borderId="3" xfId="3" applyFill="1" applyBorder="1" applyAlignment="1">
      <alignment horizontal="center" vertical="center" wrapText="1"/>
    </xf>
    <xf numFmtId="0" fontId="51" fillId="0" borderId="1" xfId="2" applyFont="1" applyFill="1" applyBorder="1" applyAlignment="1">
      <alignment horizontal="center" vertical="center" wrapText="1"/>
    </xf>
    <xf numFmtId="0" fontId="9" fillId="4" borderId="22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 vertical="center" wrapText="1"/>
    </xf>
    <xf numFmtId="0" fontId="45" fillId="4" borderId="1" xfId="3" applyFill="1" applyBorder="1" applyAlignment="1">
      <alignment horizontal="center" vertical="center" wrapText="1"/>
    </xf>
    <xf numFmtId="0" fontId="9" fillId="4" borderId="15" xfId="2" applyFont="1" applyFill="1" applyBorder="1" applyAlignment="1">
      <alignment horizontal="center"/>
    </xf>
    <xf numFmtId="3" fontId="24" fillId="0" borderId="18" xfId="2" applyNumberFormat="1" applyFont="1" applyFill="1" applyBorder="1" applyAlignment="1">
      <alignment horizontal="center" vertical="center"/>
    </xf>
    <xf numFmtId="3" fontId="32" fillId="4" borderId="18" xfId="2" applyNumberFormat="1" applyFont="1" applyFill="1" applyBorder="1" applyAlignment="1">
      <alignment horizontal="center"/>
    </xf>
    <xf numFmtId="0" fontId="8" fillId="4" borderId="18" xfId="2" applyNumberFormat="1" applyFont="1" applyFill="1" applyBorder="1" applyAlignment="1">
      <alignment horizontal="center"/>
    </xf>
    <xf numFmtId="0" fontId="8" fillId="4" borderId="18" xfId="2" applyNumberFormat="1" applyFont="1" applyFill="1" applyBorder="1" applyAlignment="1">
      <alignment horizontal="center" vertical="center"/>
    </xf>
    <xf numFmtId="3" fontId="24" fillId="4" borderId="18" xfId="2" applyNumberFormat="1" applyFont="1" applyFill="1" applyBorder="1" applyAlignment="1">
      <alignment horizontal="center" vertical="center"/>
    </xf>
    <xf numFmtId="4" fontId="22" fillId="0" borderId="24" xfId="2" applyNumberFormat="1" applyFont="1" applyFill="1" applyBorder="1" applyAlignment="1">
      <alignment horizontal="center" vertical="center" wrapText="1"/>
    </xf>
    <xf numFmtId="3" fontId="24" fillId="4" borderId="1" xfId="2" applyNumberFormat="1" applyFont="1" applyFill="1" applyBorder="1" applyAlignment="1">
      <alignment horizontal="center" vertical="center"/>
    </xf>
    <xf numFmtId="4" fontId="11" fillId="0" borderId="24" xfId="2" applyNumberFormat="1" applyFont="1" applyFill="1" applyBorder="1" applyAlignment="1">
      <alignment horizontal="center" vertical="center" wrapText="1"/>
    </xf>
    <xf numFmtId="3" fontId="32" fillId="4" borderId="1" xfId="2" applyNumberFormat="1" applyFont="1" applyFill="1" applyBorder="1" applyAlignment="1">
      <alignment horizontal="center" vertical="center"/>
    </xf>
    <xf numFmtId="3" fontId="24" fillId="0" borderId="23" xfId="2" applyNumberFormat="1" applyFont="1" applyFill="1" applyBorder="1" applyAlignment="1">
      <alignment horizontal="center" vertical="center"/>
    </xf>
    <xf numFmtId="3" fontId="24" fillId="4" borderId="23" xfId="2" applyNumberFormat="1" applyFont="1" applyFill="1" applyBorder="1" applyAlignment="1">
      <alignment horizontal="center" vertical="center"/>
    </xf>
    <xf numFmtId="3" fontId="24" fillId="0" borderId="23" xfId="2" applyNumberFormat="1" applyFont="1" applyBorder="1" applyAlignment="1">
      <alignment horizontal="center" vertical="center"/>
    </xf>
    <xf numFmtId="3" fontId="24" fillId="2" borderId="23" xfId="2" applyNumberFormat="1" applyFont="1" applyFill="1" applyBorder="1" applyAlignment="1">
      <alignment horizontal="center" vertical="center"/>
    </xf>
    <xf numFmtId="0" fontId="43" fillId="2" borderId="0" xfId="2" applyFont="1" applyFill="1" applyAlignment="1">
      <alignment horizontal="left" vertical="center" wrapText="1"/>
    </xf>
    <xf numFmtId="3" fontId="24" fillId="9" borderId="18" xfId="2" applyNumberFormat="1" applyFont="1" applyFill="1" applyBorder="1" applyAlignment="1">
      <alignment horizontal="center" vertical="center"/>
    </xf>
    <xf numFmtId="3" fontId="24" fillId="9" borderId="1" xfId="2" applyNumberFormat="1" applyFont="1" applyFill="1" applyBorder="1" applyAlignment="1">
      <alignment horizontal="center" vertical="center"/>
    </xf>
    <xf numFmtId="3" fontId="30" fillId="9" borderId="1" xfId="0" applyNumberFormat="1" applyFont="1" applyFill="1" applyBorder="1" applyAlignment="1">
      <alignment horizontal="center"/>
    </xf>
    <xf numFmtId="3" fontId="24" fillId="9" borderId="18" xfId="1" applyNumberFormat="1" applyFont="1" applyFill="1" applyBorder="1" applyAlignment="1">
      <alignment horizontal="center" vertical="center"/>
    </xf>
    <xf numFmtId="0" fontId="50" fillId="0" borderId="0" xfId="2" applyFont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9" fillId="6" borderId="8" xfId="2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0" fontId="45" fillId="0" borderId="1" xfId="3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6" fillId="2" borderId="4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9" fillId="6" borderId="11" xfId="2" applyFont="1" applyFill="1" applyBorder="1" applyAlignment="1">
      <alignment horizontal="center" vertical="center"/>
    </xf>
    <xf numFmtId="0" fontId="9" fillId="9" borderId="6" xfId="2" applyFont="1" applyFill="1" applyBorder="1" applyAlignment="1">
      <alignment horizontal="center"/>
    </xf>
    <xf numFmtId="0" fontId="11" fillId="4" borderId="1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9" fillId="9" borderId="6" xfId="2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1" fillId="0" borderId="4" xfId="2" applyFont="1" applyBorder="1" applyAlignment="1">
      <alignment horizontal="center" vertical="center" wrapText="1"/>
    </xf>
    <xf numFmtId="0" fontId="11" fillId="4" borderId="2" xfId="2" applyFont="1" applyFill="1" applyBorder="1" applyAlignment="1">
      <alignment vertical="top" wrapText="1"/>
    </xf>
    <xf numFmtId="0" fontId="11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top" wrapText="1"/>
    </xf>
    <xf numFmtId="0" fontId="11" fillId="0" borderId="0" xfId="2" applyFont="1" applyBorder="1" applyAlignment="1">
      <alignment horizontal="left" vertical="top" wrapText="1"/>
    </xf>
    <xf numFmtId="3" fontId="30" fillId="0" borderId="18" xfId="2" applyNumberFormat="1" applyFont="1" applyFill="1" applyBorder="1" applyAlignment="1">
      <alignment horizontal="center" vertical="center" wrapText="1"/>
    </xf>
    <xf numFmtId="0" fontId="20" fillId="0" borderId="0" xfId="2" applyFont="1" applyFill="1" applyAlignment="1"/>
    <xf numFmtId="165" fontId="37" fillId="6" borderId="6" xfId="2" applyNumberFormat="1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left" vertical="center" wrapText="1"/>
    </xf>
    <xf numFmtId="0" fontId="43" fillId="2" borderId="0" xfId="2" applyFont="1" applyFill="1" applyAlignment="1">
      <alignment horizontal="left" vertical="center" wrapText="1"/>
    </xf>
    <xf numFmtId="0" fontId="1" fillId="0" borderId="0" xfId="0" applyFont="1"/>
    <xf numFmtId="0" fontId="11" fillId="0" borderId="10" xfId="2" applyFont="1" applyFill="1" applyBorder="1" applyAlignment="1">
      <alignment horizontal="center" vertical="center" wrapText="1"/>
    </xf>
    <xf numFmtId="0" fontId="29" fillId="0" borderId="10" xfId="2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 wrapText="1"/>
    </xf>
    <xf numFmtId="0" fontId="43" fillId="2" borderId="0" xfId="2" applyFont="1" applyFill="1" applyAlignment="1">
      <alignment horizontal="left" vertical="top" wrapText="1"/>
    </xf>
    <xf numFmtId="0" fontId="11" fillId="0" borderId="28" xfId="2" applyFont="1" applyFill="1" applyBorder="1" applyAlignment="1">
      <alignment horizontal="left" vertical="top" wrapText="1"/>
    </xf>
    <xf numFmtId="3" fontId="45" fillId="2" borderId="0" xfId="3" applyNumberFormat="1" applyFill="1" applyBorder="1" applyAlignment="1">
      <alignment horizontal="left" vertical="center"/>
    </xf>
    <xf numFmtId="0" fontId="11" fillId="11" borderId="1" xfId="2" applyFont="1" applyFill="1" applyBorder="1" applyAlignment="1">
      <alignment horizontal="center" vertical="center" wrapText="1"/>
    </xf>
    <xf numFmtId="165" fontId="11" fillId="11" borderId="1" xfId="2" applyNumberFormat="1" applyFont="1" applyFill="1" applyBorder="1" applyAlignment="1">
      <alignment horizontal="center" vertical="center"/>
    </xf>
    <xf numFmtId="49" fontId="12" fillId="11" borderId="3" xfId="2" applyNumberFormat="1" applyFont="1" applyFill="1" applyBorder="1" applyAlignment="1">
      <alignment horizontal="center" vertical="center" wrapText="1"/>
    </xf>
    <xf numFmtId="3" fontId="24" fillId="11" borderId="1" xfId="2" applyNumberFormat="1" applyFont="1" applyFill="1" applyBorder="1" applyAlignment="1">
      <alignment horizontal="center" vertical="center"/>
    </xf>
    <xf numFmtId="0" fontId="11" fillId="11" borderId="1" xfId="2" applyFont="1" applyFill="1" applyBorder="1" applyAlignment="1">
      <alignment horizontal="center" vertical="center"/>
    </xf>
    <xf numFmtId="0" fontId="6" fillId="11" borderId="1" xfId="2" applyFont="1" applyFill="1" applyBorder="1" applyAlignment="1">
      <alignment horizontal="center" vertical="center" wrapText="1"/>
    </xf>
    <xf numFmtId="0" fontId="26" fillId="11" borderId="1" xfId="2" applyFont="1" applyFill="1" applyBorder="1" applyAlignment="1">
      <alignment horizontal="center" vertical="center"/>
    </xf>
    <xf numFmtId="0" fontId="12" fillId="11" borderId="4" xfId="2" applyFont="1" applyFill="1" applyBorder="1" applyAlignment="1">
      <alignment horizontal="left" vertical="center"/>
    </xf>
    <xf numFmtId="0" fontId="6" fillId="11" borderId="1" xfId="2" applyFont="1" applyFill="1" applyBorder="1" applyAlignment="1">
      <alignment horizontal="center" vertical="top" wrapText="1"/>
    </xf>
    <xf numFmtId="0" fontId="46" fillId="11" borderId="1" xfId="0" applyFont="1" applyFill="1" applyBorder="1" applyAlignment="1">
      <alignment horizontal="center" vertical="center"/>
    </xf>
    <xf numFmtId="0" fontId="9" fillId="11" borderId="10" xfId="2" applyFont="1" applyFill="1" applyBorder="1" applyAlignment="1">
      <alignment horizontal="center" vertical="center"/>
    </xf>
    <xf numFmtId="49" fontId="23" fillId="11" borderId="5" xfId="2" applyNumberFormat="1" applyFont="1" applyFill="1" applyBorder="1" applyAlignment="1">
      <alignment horizontal="center" vertical="center"/>
    </xf>
    <xf numFmtId="0" fontId="23" fillId="11" borderId="3" xfId="2" applyFont="1" applyFill="1" applyBorder="1" applyAlignment="1">
      <alignment horizontal="center" vertical="center"/>
    </xf>
    <xf numFmtId="3" fontId="24" fillId="11" borderId="23" xfId="2" applyNumberFormat="1" applyFont="1" applyFill="1" applyBorder="1" applyAlignment="1">
      <alignment horizontal="center" vertical="center"/>
    </xf>
    <xf numFmtId="0" fontId="9" fillId="11" borderId="20" xfId="2" applyFont="1" applyFill="1" applyBorder="1" applyAlignment="1">
      <alignment horizontal="center" vertical="center"/>
    </xf>
    <xf numFmtId="0" fontId="12" fillId="11" borderId="1" xfId="2" applyFont="1" applyFill="1" applyBorder="1" applyAlignment="1">
      <alignment horizontal="left" vertical="center"/>
    </xf>
    <xf numFmtId="0" fontId="9" fillId="11" borderId="6" xfId="2" applyFont="1" applyFill="1" applyBorder="1" applyAlignment="1">
      <alignment horizontal="center"/>
    </xf>
    <xf numFmtId="49" fontId="23" fillId="11" borderId="3" xfId="2" applyNumberFormat="1" applyFont="1" applyFill="1" applyBorder="1" applyAlignment="1">
      <alignment horizontal="center" vertical="center"/>
    </xf>
    <xf numFmtId="165" fontId="9" fillId="11" borderId="6" xfId="2" applyNumberFormat="1" applyFont="1" applyFill="1" applyBorder="1" applyAlignment="1">
      <alignment horizontal="center" vertical="center"/>
    </xf>
    <xf numFmtId="0" fontId="11" fillId="11" borderId="2" xfId="2" applyFont="1" applyFill="1" applyBorder="1" applyAlignment="1">
      <alignment horizontal="center" vertical="center"/>
    </xf>
    <xf numFmtId="0" fontId="12" fillId="11" borderId="2" xfId="2" applyFont="1" applyFill="1" applyBorder="1" applyAlignment="1">
      <alignment horizontal="left" vertical="center" wrapText="1"/>
    </xf>
    <xf numFmtId="0" fontId="6" fillId="11" borderId="2" xfId="2" applyFont="1" applyFill="1" applyBorder="1" applyAlignment="1">
      <alignment horizontal="center" vertical="center" wrapText="1"/>
    </xf>
    <xf numFmtId="0" fontId="9" fillId="11" borderId="10" xfId="2" applyFont="1" applyFill="1" applyBorder="1" applyAlignment="1">
      <alignment horizontal="center"/>
    </xf>
    <xf numFmtId="0" fontId="12" fillId="11" borderId="4" xfId="2" applyFont="1" applyFill="1" applyBorder="1" applyAlignment="1">
      <alignment vertical="center" wrapText="1"/>
    </xf>
    <xf numFmtId="0" fontId="6" fillId="11" borderId="4" xfId="2" applyFont="1" applyFill="1" applyBorder="1" applyAlignment="1">
      <alignment horizontal="center" vertical="top" wrapText="1"/>
    </xf>
    <xf numFmtId="0" fontId="9" fillId="11" borderId="1" xfId="2" applyFont="1" applyFill="1" applyBorder="1" applyAlignment="1"/>
    <xf numFmtId="0" fontId="9" fillId="11" borderId="2" xfId="2" applyFont="1" applyFill="1" applyBorder="1" applyAlignment="1">
      <alignment horizontal="center" vertical="center"/>
    </xf>
    <xf numFmtId="0" fontId="11" fillId="11" borderId="4" xfId="2" applyFont="1" applyFill="1" applyBorder="1" applyAlignment="1">
      <alignment horizontal="center" vertical="center" wrapText="1"/>
    </xf>
    <xf numFmtId="0" fontId="12" fillId="11" borderId="1" xfId="2" applyFont="1" applyFill="1" applyBorder="1" applyAlignment="1">
      <alignment horizontal="left" vertical="center" wrapText="1"/>
    </xf>
    <xf numFmtId="0" fontId="9" fillId="11" borderId="10" xfId="2" applyFont="1" applyFill="1" applyBorder="1" applyAlignment="1">
      <alignment vertical="center"/>
    </xf>
    <xf numFmtId="49" fontId="23" fillId="11" borderId="1" xfId="2" applyNumberFormat="1" applyFont="1" applyFill="1" applyBorder="1" applyAlignment="1">
      <alignment horizontal="center" vertical="center"/>
    </xf>
    <xf numFmtId="0" fontId="28" fillId="0" borderId="0" xfId="2" applyFont="1" applyAlignment="1"/>
    <xf numFmtId="0" fontId="27" fillId="0" borderId="1" xfId="2" applyFont="1" applyFill="1" applyBorder="1" applyAlignment="1">
      <alignment horizontal="center" vertical="center" wrapText="1"/>
    </xf>
    <xf numFmtId="0" fontId="27" fillId="0" borderId="4" xfId="2" applyNumberFormat="1" applyFont="1" applyFill="1" applyBorder="1" applyAlignment="1">
      <alignment horizontal="left" vertical="center" wrapText="1"/>
    </xf>
    <xf numFmtId="0" fontId="53" fillId="0" borderId="1" xfId="2" applyFont="1" applyFill="1" applyBorder="1" applyAlignment="1">
      <alignment horizontal="center" vertical="center" wrapText="1"/>
    </xf>
    <xf numFmtId="0" fontId="27" fillId="0" borderId="4" xfId="2" applyNumberFormat="1" applyFont="1" applyFill="1" applyBorder="1" applyAlignment="1">
      <alignment horizontal="left" vertical="top" wrapText="1"/>
    </xf>
    <xf numFmtId="4" fontId="28" fillId="0" borderId="3" xfId="2" applyNumberFormat="1" applyFont="1" applyFill="1" applyBorder="1" applyAlignment="1">
      <alignment horizontal="center" vertical="center" wrapText="1"/>
    </xf>
    <xf numFmtId="0" fontId="27" fillId="0" borderId="0" xfId="2" applyNumberFormat="1" applyFont="1" applyFill="1" applyBorder="1" applyAlignment="1">
      <alignment horizontal="left" vertical="top" wrapText="1"/>
    </xf>
    <xf numFmtId="0" fontId="27" fillId="0" borderId="0" xfId="2" applyNumberFormat="1" applyFont="1" applyFill="1" applyBorder="1" applyAlignment="1">
      <alignment horizontal="center" vertical="top" wrapText="1"/>
    </xf>
    <xf numFmtId="4" fontId="27" fillId="0" borderId="1" xfId="2" applyNumberFormat="1" applyFont="1" applyFill="1" applyBorder="1" applyAlignment="1">
      <alignment horizontal="center" vertical="center" wrapText="1"/>
    </xf>
    <xf numFmtId="4" fontId="28" fillId="0" borderId="24" xfId="2" applyNumberFormat="1" applyFont="1" applyFill="1" applyBorder="1" applyAlignment="1">
      <alignment horizontal="center" vertical="center" wrapText="1"/>
    </xf>
    <xf numFmtId="3" fontId="27" fillId="0" borderId="16" xfId="2" applyNumberFormat="1" applyFont="1" applyFill="1" applyBorder="1" applyAlignment="1">
      <alignment horizontal="center" vertical="center" wrapText="1"/>
    </xf>
    <xf numFmtId="0" fontId="28" fillId="3" borderId="0" xfId="2" applyFont="1" applyFill="1" applyAlignment="1"/>
    <xf numFmtId="0" fontId="27" fillId="4" borderId="1" xfId="2" applyFont="1" applyFill="1" applyBorder="1" applyAlignment="1">
      <alignment horizontal="center" vertical="center"/>
    </xf>
    <xf numFmtId="0" fontId="27" fillId="4" borderId="2" xfId="2" applyNumberFormat="1" applyFont="1" applyFill="1" applyBorder="1" applyAlignment="1">
      <alignment horizontal="left" vertical="top" wrapText="1"/>
    </xf>
    <xf numFmtId="0" fontId="27" fillId="4" borderId="1" xfId="2" applyFont="1" applyFill="1" applyBorder="1" applyAlignment="1">
      <alignment horizontal="center" vertical="top" wrapText="1"/>
    </xf>
    <xf numFmtId="0" fontId="26" fillId="4" borderId="15" xfId="2" applyFont="1" applyFill="1" applyBorder="1" applyAlignment="1">
      <alignment horizontal="center"/>
    </xf>
    <xf numFmtId="3" fontId="27" fillId="4" borderId="2" xfId="2" applyNumberFormat="1" applyFont="1" applyFill="1" applyBorder="1" applyAlignment="1">
      <alignment horizontal="center"/>
    </xf>
    <xf numFmtId="0" fontId="54" fillId="0" borderId="0" xfId="2" applyFont="1" applyAlignment="1"/>
    <xf numFmtId="0" fontId="55" fillId="0" borderId="1" xfId="2" applyNumberFormat="1" applyFont="1" applyFill="1" applyBorder="1" applyAlignment="1">
      <alignment horizontal="left" vertical="center" wrapText="1"/>
    </xf>
    <xf numFmtId="0" fontId="55" fillId="0" borderId="1" xfId="2" applyFont="1" applyFill="1" applyBorder="1" applyAlignment="1">
      <alignment horizontal="center" vertical="center" wrapText="1"/>
    </xf>
    <xf numFmtId="49" fontId="55" fillId="0" borderId="3" xfId="2" applyNumberFormat="1" applyFont="1" applyFill="1" applyBorder="1" applyAlignment="1">
      <alignment horizontal="center" vertical="center" wrapText="1"/>
    </xf>
    <xf numFmtId="0" fontId="54" fillId="0" borderId="3" xfId="2" applyNumberFormat="1" applyFont="1" applyFill="1" applyBorder="1" applyAlignment="1">
      <alignment horizontal="center" vertical="center"/>
    </xf>
    <xf numFmtId="0" fontId="57" fillId="0" borderId="3" xfId="2" applyNumberFormat="1" applyFont="1" applyFill="1" applyBorder="1" applyAlignment="1">
      <alignment horizontal="center" vertical="center"/>
    </xf>
    <xf numFmtId="0" fontId="27" fillId="11" borderId="1" xfId="2" applyFont="1" applyFill="1" applyBorder="1" applyAlignment="1">
      <alignment horizontal="center" vertical="center" wrapText="1"/>
    </xf>
    <xf numFmtId="0" fontId="55" fillId="11" borderId="1" xfId="2" applyNumberFormat="1" applyFont="1" applyFill="1" applyBorder="1" applyAlignment="1">
      <alignment horizontal="left" vertical="center" wrapText="1"/>
    </xf>
    <xf numFmtId="0" fontId="55" fillId="11" borderId="1" xfId="2" applyFont="1" applyFill="1" applyBorder="1" applyAlignment="1">
      <alignment horizontal="center" vertical="center" wrapText="1"/>
    </xf>
    <xf numFmtId="0" fontId="57" fillId="11" borderId="3" xfId="2" applyNumberFormat="1" applyFont="1" applyFill="1" applyBorder="1" applyAlignment="1">
      <alignment horizontal="center" vertical="center"/>
    </xf>
    <xf numFmtId="3" fontId="56" fillId="11" borderId="1" xfId="2" applyNumberFormat="1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11" borderId="1" xfId="2" applyFont="1" applyFill="1" applyBorder="1" applyAlignment="1">
      <alignment horizontal="center" vertical="center"/>
    </xf>
    <xf numFmtId="0" fontId="54" fillId="11" borderId="1" xfId="2" applyNumberFormat="1" applyFont="1" applyFill="1" applyBorder="1" applyAlignment="1">
      <alignment horizontal="center" vertical="center"/>
    </xf>
    <xf numFmtId="0" fontId="54" fillId="0" borderId="0" xfId="2" applyFont="1" applyFill="1" applyAlignment="1"/>
    <xf numFmtId="3" fontId="56" fillId="4" borderId="1" xfId="2" applyNumberFormat="1" applyFont="1" applyFill="1" applyBorder="1" applyAlignment="1">
      <alignment horizontal="center" vertical="center"/>
    </xf>
    <xf numFmtId="3" fontId="56" fillId="2" borderId="1" xfId="2" applyNumberFormat="1" applyFont="1" applyFill="1" applyBorder="1" applyAlignment="1">
      <alignment horizontal="center" vertical="center"/>
    </xf>
    <xf numFmtId="49" fontId="55" fillId="11" borderId="1" xfId="2" applyNumberFormat="1" applyFont="1" applyFill="1" applyBorder="1" applyAlignment="1">
      <alignment horizontal="center" vertical="center" wrapText="1"/>
    </xf>
    <xf numFmtId="0" fontId="57" fillId="2" borderId="0" xfId="2" applyFont="1" applyFill="1" applyBorder="1" applyAlignment="1"/>
    <xf numFmtId="0" fontId="54" fillId="0" borderId="0" xfId="2" applyFont="1" applyAlignment="1">
      <alignment horizontal="center" vertical="center"/>
    </xf>
    <xf numFmtId="0" fontId="27" fillId="4" borderId="3" xfId="2" applyFont="1" applyFill="1" applyBorder="1" applyAlignment="1">
      <alignment vertical="top" wrapText="1"/>
    </xf>
    <xf numFmtId="0" fontId="27" fillId="4" borderId="3" xfId="2" applyNumberFormat="1" applyFont="1" applyFill="1" applyBorder="1" applyAlignment="1">
      <alignment vertical="top" wrapText="1"/>
    </xf>
    <xf numFmtId="49" fontId="26" fillId="4" borderId="1" xfId="2" applyNumberFormat="1" applyFont="1" applyFill="1" applyBorder="1" applyAlignment="1">
      <alignment horizontal="center"/>
    </xf>
    <xf numFmtId="0" fontId="54" fillId="4" borderId="1" xfId="2" applyNumberFormat="1" applyFont="1" applyFill="1" applyBorder="1" applyAlignment="1">
      <alignment horizontal="center"/>
    </xf>
    <xf numFmtId="0" fontId="54" fillId="4" borderId="3" xfId="2" applyNumberFormat="1" applyFont="1" applyFill="1" applyBorder="1" applyAlignment="1">
      <alignment horizontal="center"/>
    </xf>
    <xf numFmtId="0" fontId="57" fillId="11" borderId="1" xfId="2" applyNumberFormat="1" applyFont="1" applyFill="1" applyBorder="1" applyAlignment="1">
      <alignment horizontal="center" vertical="center"/>
    </xf>
    <xf numFmtId="0" fontId="54" fillId="2" borderId="0" xfId="2" applyFont="1" applyFill="1" applyAlignment="1"/>
    <xf numFmtId="0" fontId="33" fillId="2" borderId="0" xfId="2" applyFont="1" applyFill="1" applyBorder="1" applyAlignment="1">
      <alignment horizontal="left" vertical="center"/>
    </xf>
    <xf numFmtId="0" fontId="59" fillId="2" borderId="0" xfId="2" applyNumberFormat="1" applyFont="1" applyFill="1" applyBorder="1" applyAlignment="1">
      <alignment horizontal="left" vertical="center"/>
    </xf>
    <xf numFmtId="0" fontId="59" fillId="2" borderId="0" xfId="2" applyFont="1" applyFill="1" applyBorder="1" applyAlignment="1">
      <alignment horizontal="center" vertical="center"/>
    </xf>
    <xf numFmtId="0" fontId="58" fillId="0" borderId="0" xfId="2" applyFont="1" applyFill="1" applyBorder="1" applyAlignment="1">
      <alignment horizontal="center" vertical="center"/>
    </xf>
    <xf numFmtId="0" fontId="58" fillId="2" borderId="0" xfId="2" applyFont="1" applyFill="1" applyBorder="1" applyAlignment="1">
      <alignment horizontal="center" vertical="center"/>
    </xf>
    <xf numFmtId="3" fontId="33" fillId="2" borderId="0" xfId="2" applyNumberFormat="1" applyFont="1" applyFill="1" applyBorder="1" applyAlignment="1">
      <alignment horizontal="center"/>
    </xf>
    <xf numFmtId="0" fontId="33" fillId="2" borderId="0" xfId="2" applyFont="1" applyFill="1" applyAlignment="1">
      <alignment vertical="center"/>
    </xf>
    <xf numFmtId="0" fontId="54" fillId="2" borderId="0" xfId="2" applyNumberFormat="1" applyFont="1" applyFill="1" applyAlignment="1">
      <alignment horizontal="left"/>
    </xf>
    <xf numFmtId="0" fontId="54" fillId="2" borderId="0" xfId="2" applyFont="1" applyFill="1" applyAlignment="1">
      <alignment horizontal="center"/>
    </xf>
    <xf numFmtId="0" fontId="58" fillId="0" borderId="0" xfId="2" applyFont="1" applyFill="1" applyAlignment="1">
      <alignment horizontal="center"/>
    </xf>
    <xf numFmtId="0" fontId="58" fillId="2" borderId="0" xfId="2" applyFont="1" applyFill="1" applyAlignment="1">
      <alignment horizontal="center"/>
    </xf>
    <xf numFmtId="3" fontId="28" fillId="2" borderId="0" xfId="2" applyNumberFormat="1" applyFont="1" applyFill="1" applyAlignment="1">
      <alignment horizontal="center"/>
    </xf>
    <xf numFmtId="0" fontId="58" fillId="0" borderId="0" xfId="2" applyFont="1" applyFill="1" applyAlignment="1"/>
    <xf numFmtId="0" fontId="58" fillId="2" borderId="0" xfId="2" applyFont="1" applyFill="1" applyAlignment="1"/>
    <xf numFmtId="0" fontId="60" fillId="2" borderId="0" xfId="2" applyFont="1" applyFill="1" applyAlignment="1"/>
    <xf numFmtId="0" fontId="61" fillId="0" borderId="1" xfId="2" applyFont="1" applyFill="1" applyBorder="1" applyAlignment="1">
      <alignment horizontal="center" vertical="center" wrapText="1"/>
    </xf>
    <xf numFmtId="165" fontId="61" fillId="0" borderId="1" xfId="2" applyNumberFormat="1" applyFont="1" applyFill="1" applyBorder="1" applyAlignment="1">
      <alignment horizontal="center" vertical="center"/>
    </xf>
    <xf numFmtId="0" fontId="62" fillId="0" borderId="1" xfId="2" applyNumberFormat="1" applyFont="1" applyFill="1" applyBorder="1" applyAlignment="1">
      <alignment horizontal="left" vertical="center" wrapText="1"/>
    </xf>
    <xf numFmtId="0" fontId="62" fillId="0" borderId="1" xfId="2" applyFont="1" applyFill="1" applyBorder="1" applyAlignment="1">
      <alignment horizontal="center" vertical="center" wrapText="1"/>
    </xf>
    <xf numFmtId="165" fontId="63" fillId="0" borderId="3" xfId="2" applyNumberFormat="1" applyFont="1" applyFill="1" applyBorder="1" applyAlignment="1">
      <alignment horizontal="center" vertical="center"/>
    </xf>
    <xf numFmtId="49" fontId="62" fillId="0" borderId="3" xfId="2" applyNumberFormat="1" applyFont="1" applyFill="1" applyBorder="1" applyAlignment="1">
      <alignment horizontal="center" vertical="center" wrapText="1"/>
    </xf>
    <xf numFmtId="165" fontId="63" fillId="0" borderId="1" xfId="2" applyNumberFormat="1" applyFont="1" applyFill="1" applyBorder="1" applyAlignment="1">
      <alignment horizontal="center" vertical="center"/>
    </xf>
    <xf numFmtId="0" fontId="64" fillId="0" borderId="1" xfId="2" applyNumberFormat="1" applyFont="1" applyFill="1" applyBorder="1" applyAlignment="1">
      <alignment horizontal="center" vertical="center"/>
    </xf>
    <xf numFmtId="0" fontId="64" fillId="0" borderId="3" xfId="2" applyNumberFormat="1" applyFont="1" applyFill="1" applyBorder="1" applyAlignment="1">
      <alignment horizontal="center" vertical="center"/>
    </xf>
    <xf numFmtId="3" fontId="65" fillId="0" borderId="18" xfId="2" applyNumberFormat="1" applyFont="1" applyFill="1" applyBorder="1" applyAlignment="1">
      <alignment horizontal="center" vertical="center"/>
    </xf>
    <xf numFmtId="49" fontId="62" fillId="2" borderId="1" xfId="2" applyNumberFormat="1" applyFont="1" applyFill="1" applyBorder="1" applyAlignment="1">
      <alignment horizontal="center" vertical="center" wrapText="1"/>
    </xf>
    <xf numFmtId="4" fontId="66" fillId="0" borderId="1" xfId="2" applyNumberFormat="1" applyFont="1" applyFill="1" applyBorder="1" applyAlignment="1">
      <alignment horizontal="center" vertical="center"/>
    </xf>
    <xf numFmtId="0" fontId="67" fillId="2" borderId="1" xfId="2" applyNumberFormat="1" applyFont="1" applyFill="1" applyBorder="1" applyAlignment="1">
      <alignment horizontal="center" vertical="center"/>
    </xf>
    <xf numFmtId="0" fontId="64" fillId="0" borderId="1" xfId="2" applyNumberFormat="1" applyFont="1" applyFill="1" applyBorder="1" applyAlignment="1">
      <alignment horizontal="center" vertical="center" wrapText="1"/>
    </xf>
    <xf numFmtId="0" fontId="68" fillId="0" borderId="3" xfId="2" applyNumberFormat="1" applyFont="1" applyFill="1" applyBorder="1" applyAlignment="1">
      <alignment horizontal="center" vertical="center"/>
    </xf>
    <xf numFmtId="49" fontId="62" fillId="0" borderId="3" xfId="1" applyNumberFormat="1" applyFont="1" applyFill="1" applyBorder="1" applyAlignment="1">
      <alignment horizontal="center" vertical="center" wrapText="1"/>
    </xf>
    <xf numFmtId="4" fontId="66" fillId="0" borderId="3" xfId="2" applyNumberFormat="1" applyFont="1" applyFill="1" applyBorder="1" applyAlignment="1">
      <alignment horizontal="center" vertical="center"/>
    </xf>
    <xf numFmtId="49" fontId="62" fillId="2" borderId="3" xfId="2" applyNumberFormat="1" applyFont="1" applyFill="1" applyBorder="1" applyAlignment="1">
      <alignment horizontal="center" vertical="center" wrapText="1"/>
    </xf>
    <xf numFmtId="0" fontId="67" fillId="2" borderId="3" xfId="2" applyNumberFormat="1" applyFont="1" applyFill="1" applyBorder="1" applyAlignment="1">
      <alignment horizontal="center" vertical="center"/>
    </xf>
    <xf numFmtId="0" fontId="68" fillId="2" borderId="3" xfId="2" applyNumberFormat="1" applyFont="1" applyFill="1" applyBorder="1" applyAlignment="1">
      <alignment horizontal="center" vertical="center"/>
    </xf>
    <xf numFmtId="165" fontId="63" fillId="9" borderId="3" xfId="2" applyNumberFormat="1" applyFont="1" applyFill="1" applyBorder="1" applyAlignment="1">
      <alignment horizontal="center" vertical="center"/>
    </xf>
    <xf numFmtId="0" fontId="61" fillId="2" borderId="1" xfId="2" applyFont="1" applyFill="1" applyBorder="1" applyAlignment="1">
      <alignment horizontal="center" vertical="center" wrapText="1"/>
    </xf>
    <xf numFmtId="0" fontId="62" fillId="2" borderId="1" xfId="0" applyNumberFormat="1" applyFont="1" applyFill="1" applyBorder="1" applyAlignment="1">
      <alignment horizontal="left" vertical="center" wrapText="1"/>
    </xf>
    <xf numFmtId="0" fontId="62" fillId="2" borderId="1" xfId="2" applyFont="1" applyFill="1" applyBorder="1" applyAlignment="1">
      <alignment horizontal="center" vertical="center" wrapText="1"/>
    </xf>
    <xf numFmtId="165" fontId="63" fillId="6" borderId="5" xfId="2" applyNumberFormat="1" applyFont="1" applyFill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61" fillId="11" borderId="1" xfId="2" applyFont="1" applyFill="1" applyBorder="1" applyAlignment="1">
      <alignment horizontal="center" vertical="center" wrapText="1"/>
    </xf>
    <xf numFmtId="165" fontId="61" fillId="11" borderId="1" xfId="2" applyNumberFormat="1" applyFont="1" applyFill="1" applyBorder="1" applyAlignment="1">
      <alignment horizontal="center" vertical="center"/>
    </xf>
    <xf numFmtId="0" fontId="62" fillId="11" borderId="1" xfId="2" applyNumberFormat="1" applyFont="1" applyFill="1" applyBorder="1" applyAlignment="1">
      <alignment horizontal="left" vertical="center" wrapText="1"/>
    </xf>
    <xf numFmtId="0" fontId="62" fillId="11" borderId="1" xfId="2" applyFont="1" applyFill="1" applyBorder="1" applyAlignment="1">
      <alignment horizontal="center" vertical="center" wrapText="1"/>
    </xf>
    <xf numFmtId="165" fontId="63" fillId="11" borderId="5" xfId="2" applyNumberFormat="1" applyFont="1" applyFill="1" applyBorder="1" applyAlignment="1">
      <alignment horizontal="center" vertical="center"/>
    </xf>
    <xf numFmtId="49" fontId="62" fillId="11" borderId="3" xfId="2" applyNumberFormat="1" applyFont="1" applyFill="1" applyBorder="1" applyAlignment="1">
      <alignment horizontal="center" vertical="center" wrapText="1"/>
    </xf>
    <xf numFmtId="4" fontId="66" fillId="11" borderId="1" xfId="2" applyNumberFormat="1" applyFont="1" applyFill="1" applyBorder="1" applyAlignment="1">
      <alignment horizontal="center" vertical="center"/>
    </xf>
    <xf numFmtId="0" fontId="67" fillId="11" borderId="3" xfId="2" applyNumberFormat="1" applyFont="1" applyFill="1" applyBorder="1" applyAlignment="1">
      <alignment horizontal="center" vertical="center"/>
    </xf>
    <xf numFmtId="0" fontId="68" fillId="11" borderId="3" xfId="2" applyNumberFormat="1" applyFont="1" applyFill="1" applyBorder="1" applyAlignment="1">
      <alignment horizontal="center" vertical="center"/>
    </xf>
    <xf numFmtId="3" fontId="65" fillId="11" borderId="1" xfId="2" applyNumberFormat="1" applyFont="1" applyFill="1" applyBorder="1" applyAlignment="1">
      <alignment horizontal="center" vertical="center"/>
    </xf>
    <xf numFmtId="0" fontId="61" fillId="4" borderId="1" xfId="2" applyFont="1" applyFill="1" applyBorder="1" applyAlignment="1">
      <alignment horizontal="center" vertical="center"/>
    </xf>
    <xf numFmtId="0" fontId="61" fillId="4" borderId="1" xfId="2" applyNumberFormat="1" applyFont="1" applyFill="1" applyBorder="1" applyAlignment="1">
      <alignment horizontal="left" vertical="top" wrapText="1"/>
    </xf>
    <xf numFmtId="0" fontId="61" fillId="4" borderId="1" xfId="2" applyFont="1" applyFill="1" applyBorder="1" applyAlignment="1">
      <alignment horizontal="center" vertical="top" wrapText="1"/>
    </xf>
    <xf numFmtId="0" fontId="63" fillId="4" borderId="1" xfId="2" applyFont="1" applyFill="1" applyBorder="1" applyAlignment="1">
      <alignment horizontal="center"/>
    </xf>
    <xf numFmtId="49" fontId="61" fillId="4" borderId="1" xfId="2" applyNumberFormat="1" applyFont="1" applyFill="1" applyBorder="1" applyAlignment="1">
      <alignment horizontal="center" vertical="center" wrapText="1"/>
    </xf>
    <xf numFmtId="0" fontId="68" fillId="4" borderId="1" xfId="2" applyNumberFormat="1" applyFont="1" applyFill="1" applyBorder="1" applyAlignment="1">
      <alignment horizontal="center" vertical="center"/>
    </xf>
    <xf numFmtId="0" fontId="68" fillId="4" borderId="1" xfId="2" applyNumberFormat="1" applyFont="1" applyFill="1" applyBorder="1" applyAlignment="1">
      <alignment horizontal="center"/>
    </xf>
    <xf numFmtId="0" fontId="68" fillId="4" borderId="3" xfId="2" applyNumberFormat="1" applyFont="1" applyFill="1" applyBorder="1" applyAlignment="1">
      <alignment horizontal="center"/>
    </xf>
    <xf numFmtId="0" fontId="64" fillId="2" borderId="3" xfId="2" applyNumberFormat="1" applyFont="1" applyFill="1" applyBorder="1" applyAlignment="1">
      <alignment horizontal="center" vertical="center"/>
    </xf>
    <xf numFmtId="3" fontId="72" fillId="0" borderId="10" xfId="2" applyNumberFormat="1" applyFont="1" applyFill="1" applyBorder="1" applyAlignment="1">
      <alignment horizontal="center" vertical="center"/>
    </xf>
    <xf numFmtId="0" fontId="61" fillId="0" borderId="1" xfId="2" applyFont="1" applyFill="1" applyBorder="1" applyAlignment="1">
      <alignment horizontal="center" vertical="center"/>
    </xf>
    <xf numFmtId="0" fontId="64" fillId="0" borderId="1" xfId="2" applyNumberFormat="1" applyFont="1" applyFill="1" applyBorder="1" applyAlignment="1">
      <alignment horizontal="left" vertical="top" wrapText="1"/>
    </xf>
    <xf numFmtId="0" fontId="64" fillId="0" borderId="1" xfId="2" applyFont="1" applyFill="1" applyBorder="1" applyAlignment="1">
      <alignment horizontal="center" vertical="top" wrapText="1"/>
    </xf>
    <xf numFmtId="0" fontId="63" fillId="0" borderId="3" xfId="2" applyFont="1" applyFill="1" applyBorder="1" applyAlignment="1">
      <alignment horizontal="center"/>
    </xf>
    <xf numFmtId="49" fontId="64" fillId="0" borderId="3" xfId="2" applyNumberFormat="1" applyFont="1" applyFill="1" applyBorder="1" applyAlignment="1">
      <alignment horizontal="center" vertical="center" wrapText="1"/>
    </xf>
    <xf numFmtId="0" fontId="68" fillId="0" borderId="3" xfId="2" applyNumberFormat="1" applyFont="1" applyFill="1" applyBorder="1" applyAlignment="1">
      <alignment horizontal="center"/>
    </xf>
    <xf numFmtId="0" fontId="61" fillId="4" borderId="1" xfId="2" applyFont="1" applyFill="1" applyBorder="1" applyAlignment="1">
      <alignment horizontal="center"/>
    </xf>
    <xf numFmtId="0" fontId="61" fillId="4" borderId="1" xfId="2" applyNumberFormat="1" applyFont="1" applyFill="1" applyBorder="1" applyAlignment="1">
      <alignment horizontal="left" vertical="center" wrapText="1"/>
    </xf>
    <xf numFmtId="0" fontId="63" fillId="4" borderId="3" xfId="2" applyFont="1" applyFill="1" applyBorder="1" applyAlignment="1">
      <alignment horizontal="center"/>
    </xf>
    <xf numFmtId="49" fontId="61" fillId="4" borderId="3" xfId="2" applyNumberFormat="1" applyFont="1" applyFill="1" applyBorder="1" applyAlignment="1">
      <alignment horizontal="center" vertical="center" wrapText="1"/>
    </xf>
    <xf numFmtId="0" fontId="68" fillId="4" borderId="3" xfId="2" applyNumberFormat="1" applyFont="1" applyFill="1" applyBorder="1" applyAlignment="1">
      <alignment horizontal="center" vertical="center"/>
    </xf>
    <xf numFmtId="165" fontId="63" fillId="8" borderId="3" xfId="2" applyNumberFormat="1" applyFont="1" applyFill="1" applyBorder="1" applyAlignment="1">
      <alignment horizontal="center" vertical="center"/>
    </xf>
    <xf numFmtId="0" fontId="64" fillId="2" borderId="1" xfId="2" applyNumberFormat="1" applyFont="1" applyFill="1" applyBorder="1" applyAlignment="1">
      <alignment horizontal="center" vertical="center"/>
    </xf>
    <xf numFmtId="0" fontId="65" fillId="2" borderId="3" xfId="2" applyNumberFormat="1" applyFont="1" applyFill="1" applyBorder="1" applyAlignment="1">
      <alignment horizontal="center" vertical="center"/>
    </xf>
    <xf numFmtId="0" fontId="62" fillId="2" borderId="1" xfId="0" applyNumberFormat="1" applyFont="1" applyFill="1" applyBorder="1" applyAlignment="1">
      <alignment horizontal="left" vertical="center"/>
    </xf>
    <xf numFmtId="0" fontId="62" fillId="11" borderId="1" xfId="0" applyNumberFormat="1" applyFont="1" applyFill="1" applyBorder="1" applyAlignment="1">
      <alignment horizontal="left" vertical="center" wrapText="1"/>
    </xf>
    <xf numFmtId="165" fontId="63" fillId="11" borderId="3" xfId="2" applyNumberFormat="1" applyFont="1" applyFill="1" applyBorder="1" applyAlignment="1">
      <alignment horizontal="center" vertical="center"/>
    </xf>
    <xf numFmtId="165" fontId="61" fillId="0" borderId="3" xfId="2" applyNumberFormat="1" applyFont="1" applyFill="1" applyBorder="1" applyAlignment="1">
      <alignment horizontal="center" vertical="center"/>
    </xf>
    <xf numFmtId="0" fontId="62" fillId="0" borderId="1" xfId="0" applyNumberFormat="1" applyFont="1" applyFill="1" applyBorder="1" applyAlignment="1">
      <alignment horizontal="left" vertical="center" wrapText="1"/>
    </xf>
    <xf numFmtId="0" fontId="67" fillId="0" borderId="3" xfId="2" applyNumberFormat="1" applyFont="1" applyFill="1" applyBorder="1" applyAlignment="1">
      <alignment horizontal="center" vertical="center"/>
    </xf>
    <xf numFmtId="0" fontId="61" fillId="2" borderId="1" xfId="2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49" fontId="62" fillId="0" borderId="3" xfId="0" applyNumberFormat="1" applyFont="1" applyFill="1" applyBorder="1" applyAlignment="1">
      <alignment horizontal="center" vertical="center"/>
    </xf>
    <xf numFmtId="0" fontId="62" fillId="0" borderId="1" xfId="2" applyFont="1" applyFill="1" applyBorder="1" applyAlignment="1">
      <alignment horizontal="center" wrapText="1"/>
    </xf>
    <xf numFmtId="0" fontId="63" fillId="0" borderId="3" xfId="2" applyFont="1" applyFill="1" applyBorder="1" applyAlignment="1">
      <alignment horizontal="center" vertical="center" wrapText="1"/>
    </xf>
    <xf numFmtId="49" fontId="62" fillId="0" borderId="3" xfId="2" applyNumberFormat="1" applyFont="1" applyFill="1" applyBorder="1" applyAlignment="1">
      <alignment horizontal="center" vertical="center"/>
    </xf>
    <xf numFmtId="0" fontId="68" fillId="0" borderId="3" xfId="2" applyNumberFormat="1" applyFont="1" applyFill="1" applyBorder="1" applyAlignment="1">
      <alignment horizontal="center" vertical="center" wrapText="1"/>
    </xf>
    <xf numFmtId="0" fontId="61" fillId="4" borderId="1" xfId="2" applyFont="1" applyFill="1" applyBorder="1" applyAlignment="1">
      <alignment horizontal="center" vertical="center" wrapText="1"/>
    </xf>
    <xf numFmtId="165" fontId="61" fillId="4" borderId="1" xfId="2" applyNumberFormat="1" applyFont="1" applyFill="1" applyBorder="1" applyAlignment="1">
      <alignment horizontal="center" vertical="center"/>
    </xf>
    <xf numFmtId="0" fontId="72" fillId="4" borderId="1" xfId="2" applyNumberFormat="1" applyFont="1" applyFill="1" applyBorder="1" applyAlignment="1">
      <alignment horizontal="left" vertical="center" wrapText="1"/>
    </xf>
    <xf numFmtId="0" fontId="62" fillId="4" borderId="1" xfId="2" applyFont="1" applyFill="1" applyBorder="1" applyAlignment="1">
      <alignment horizontal="center" vertical="center" wrapText="1"/>
    </xf>
    <xf numFmtId="165" fontId="63" fillId="4" borderId="3" xfId="2" applyNumberFormat="1" applyFont="1" applyFill="1" applyBorder="1" applyAlignment="1">
      <alignment horizontal="center" vertical="center"/>
    </xf>
    <xf numFmtId="49" fontId="62" fillId="4" borderId="3" xfId="2" applyNumberFormat="1" applyFont="1" applyFill="1" applyBorder="1" applyAlignment="1">
      <alignment horizontal="center" vertical="center" wrapText="1"/>
    </xf>
    <xf numFmtId="165" fontId="63" fillId="6" borderId="3" xfId="2" applyNumberFormat="1" applyFont="1" applyFill="1" applyBorder="1" applyAlignment="1">
      <alignment horizontal="center" vertical="center"/>
    </xf>
    <xf numFmtId="0" fontId="73" fillId="0" borderId="3" xfId="0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0" fontId="61" fillId="0" borderId="1" xfId="0" applyFont="1" applyBorder="1" applyAlignment="1">
      <alignment horizontal="center" wrapText="1"/>
    </xf>
    <xf numFmtId="0" fontId="61" fillId="0" borderId="1" xfId="0" applyFont="1" applyBorder="1" applyAlignment="1">
      <alignment horizontal="center"/>
    </xf>
    <xf numFmtId="0" fontId="62" fillId="0" borderId="1" xfId="0" applyNumberFormat="1" applyFont="1" applyBorder="1" applyAlignment="1">
      <alignment vertical="center" wrapText="1"/>
    </xf>
    <xf numFmtId="0" fontId="62" fillId="0" borderId="1" xfId="0" applyFont="1" applyBorder="1" applyAlignment="1">
      <alignment horizontal="center" wrapText="1"/>
    </xf>
    <xf numFmtId="0" fontId="73" fillId="0" borderId="1" xfId="0" applyFont="1" applyBorder="1" applyAlignment="1">
      <alignment horizontal="center"/>
    </xf>
    <xf numFmtId="0" fontId="61" fillId="0" borderId="4" xfId="2" applyFont="1" applyFill="1" applyBorder="1" applyAlignment="1">
      <alignment horizontal="center" vertical="center" wrapText="1"/>
    </xf>
    <xf numFmtId="165" fontId="61" fillId="0" borderId="4" xfId="2" applyNumberFormat="1" applyFont="1" applyFill="1" applyBorder="1" applyAlignment="1">
      <alignment horizontal="center" vertical="center"/>
    </xf>
    <xf numFmtId="0" fontId="62" fillId="0" borderId="4" xfId="2" applyFont="1" applyFill="1" applyBorder="1" applyAlignment="1">
      <alignment horizontal="center" vertical="center" wrapText="1"/>
    </xf>
    <xf numFmtId="165" fontId="63" fillId="0" borderId="5" xfId="2" applyNumberFormat="1" applyFont="1" applyFill="1" applyBorder="1" applyAlignment="1">
      <alignment horizontal="center" vertical="center"/>
    </xf>
    <xf numFmtId="49" fontId="62" fillId="0" borderId="5" xfId="2" applyNumberFormat="1" applyFont="1" applyFill="1" applyBorder="1" applyAlignment="1">
      <alignment horizontal="center" vertical="center" wrapText="1"/>
    </xf>
    <xf numFmtId="0" fontId="73" fillId="0" borderId="4" xfId="0" applyFont="1" applyBorder="1" applyAlignment="1">
      <alignment horizontal="center"/>
    </xf>
    <xf numFmtId="0" fontId="62" fillId="0" borderId="4" xfId="0" applyFont="1" applyBorder="1" applyAlignment="1">
      <alignment horizontal="center"/>
    </xf>
    <xf numFmtId="0" fontId="62" fillId="0" borderId="4" xfId="2" applyNumberFormat="1" applyFont="1" applyFill="1" applyBorder="1" applyAlignment="1">
      <alignment horizontal="left" vertical="center" wrapText="1"/>
    </xf>
    <xf numFmtId="4" fontId="66" fillId="0" borderId="4" xfId="2" applyNumberFormat="1" applyFont="1" applyFill="1" applyBorder="1" applyAlignment="1">
      <alignment horizontal="center" vertical="center"/>
    </xf>
    <xf numFmtId="0" fontId="64" fillId="0" borderId="4" xfId="2" applyNumberFormat="1" applyFont="1" applyFill="1" applyBorder="1" applyAlignment="1">
      <alignment horizontal="center" vertical="center"/>
    </xf>
    <xf numFmtId="49" fontId="62" fillId="0" borderId="1" xfId="2" applyNumberFormat="1" applyFont="1" applyFill="1" applyBorder="1" applyAlignment="1">
      <alignment horizontal="center" vertical="center" wrapText="1"/>
    </xf>
    <xf numFmtId="0" fontId="64" fillId="0" borderId="10" xfId="2" applyNumberFormat="1" applyFont="1" applyFill="1" applyBorder="1" applyAlignment="1">
      <alignment horizontal="center" vertical="center"/>
    </xf>
    <xf numFmtId="49" fontId="62" fillId="0" borderId="2" xfId="2" applyNumberFormat="1" applyFont="1" applyFill="1" applyBorder="1" applyAlignment="1">
      <alignment horizontal="center" vertical="center" wrapText="1"/>
    </xf>
    <xf numFmtId="165" fontId="63" fillId="0" borderId="2" xfId="2" applyNumberFormat="1" applyFont="1" applyFill="1" applyBorder="1" applyAlignment="1">
      <alignment horizontal="center" vertical="center"/>
    </xf>
    <xf numFmtId="0" fontId="64" fillId="0" borderId="2" xfId="2" applyNumberFormat="1" applyFont="1" applyFill="1" applyBorder="1" applyAlignment="1">
      <alignment horizontal="center" vertical="center"/>
    </xf>
    <xf numFmtId="0" fontId="61" fillId="0" borderId="2" xfId="2" applyFont="1" applyFill="1" applyBorder="1" applyAlignment="1">
      <alignment horizontal="center" vertical="center" wrapText="1"/>
    </xf>
    <xf numFmtId="165" fontId="61" fillId="0" borderId="2" xfId="2" applyNumberFormat="1" applyFont="1" applyFill="1" applyBorder="1" applyAlignment="1">
      <alignment horizontal="center" vertical="center"/>
    </xf>
    <xf numFmtId="0" fontId="62" fillId="0" borderId="2" xfId="2" applyNumberFormat="1" applyFont="1" applyFill="1" applyBorder="1" applyAlignment="1">
      <alignment horizontal="left" vertical="center" wrapText="1"/>
    </xf>
    <xf numFmtId="0" fontId="62" fillId="2" borderId="2" xfId="2" applyFont="1" applyFill="1" applyBorder="1" applyAlignment="1">
      <alignment horizontal="center" vertical="center" wrapText="1"/>
    </xf>
    <xf numFmtId="0" fontId="64" fillId="2" borderId="10" xfId="2" applyNumberFormat="1" applyFont="1" applyFill="1" applyBorder="1" applyAlignment="1">
      <alignment horizontal="center" vertical="center"/>
    </xf>
    <xf numFmtId="0" fontId="61" fillId="4" borderId="2" xfId="2" applyFont="1" applyFill="1" applyBorder="1" applyAlignment="1">
      <alignment horizontal="center" vertical="center" wrapText="1"/>
    </xf>
    <xf numFmtId="165" fontId="61" fillId="4" borderId="2" xfId="2" applyNumberFormat="1" applyFont="1" applyFill="1" applyBorder="1" applyAlignment="1">
      <alignment horizontal="center" vertical="center"/>
    </xf>
    <xf numFmtId="0" fontId="72" fillId="4" borderId="2" xfId="2" applyNumberFormat="1" applyFont="1" applyFill="1" applyBorder="1" applyAlignment="1">
      <alignment horizontal="left" vertical="center" wrapText="1"/>
    </xf>
    <xf numFmtId="0" fontId="62" fillId="4" borderId="2" xfId="2" applyFont="1" applyFill="1" applyBorder="1" applyAlignment="1">
      <alignment horizontal="center" vertical="center" wrapText="1"/>
    </xf>
    <xf numFmtId="165" fontId="63" fillId="4" borderId="2" xfId="2" applyNumberFormat="1" applyFont="1" applyFill="1" applyBorder="1" applyAlignment="1">
      <alignment horizontal="center" vertical="center"/>
    </xf>
    <xf numFmtId="49" fontId="62" fillId="4" borderId="2" xfId="2" applyNumberFormat="1" applyFont="1" applyFill="1" applyBorder="1" applyAlignment="1">
      <alignment horizontal="center" vertical="center" wrapText="1"/>
    </xf>
    <xf numFmtId="0" fontId="68" fillId="4" borderId="2" xfId="2" applyNumberFormat="1" applyFont="1" applyFill="1" applyBorder="1" applyAlignment="1">
      <alignment horizontal="center" vertical="center"/>
    </xf>
    <xf numFmtId="0" fontId="62" fillId="0" borderId="2" xfId="2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61" fillId="9" borderId="1" xfId="2" applyFont="1" applyFill="1" applyBorder="1" applyAlignment="1">
      <alignment horizontal="center" vertical="center"/>
    </xf>
    <xf numFmtId="165" fontId="61" fillId="9" borderId="1" xfId="2" applyNumberFormat="1" applyFont="1" applyFill="1" applyBorder="1" applyAlignment="1">
      <alignment horizontal="center" vertical="center"/>
    </xf>
    <xf numFmtId="0" fontId="64" fillId="9" borderId="1" xfId="0" applyNumberFormat="1" applyFont="1" applyFill="1" applyBorder="1" applyAlignment="1">
      <alignment horizontal="left" vertical="center" wrapText="1"/>
    </xf>
    <xf numFmtId="0" fontId="64" fillId="9" borderId="1" xfId="2" applyFont="1" applyFill="1" applyBorder="1" applyAlignment="1">
      <alignment horizontal="center" vertical="top" wrapText="1"/>
    </xf>
    <xf numFmtId="0" fontId="63" fillId="9" borderId="3" xfId="2" applyFont="1" applyFill="1" applyBorder="1" applyAlignment="1">
      <alignment horizontal="center" wrapText="1"/>
    </xf>
    <xf numFmtId="49" fontId="64" fillId="9" borderId="3" xfId="2" applyNumberFormat="1" applyFont="1" applyFill="1" applyBorder="1" applyAlignment="1">
      <alignment horizontal="center" vertical="center" wrapText="1"/>
    </xf>
    <xf numFmtId="4" fontId="66" fillId="9" borderId="1" xfId="2" applyNumberFormat="1" applyFont="1" applyFill="1" applyBorder="1" applyAlignment="1">
      <alignment horizontal="center" vertical="center"/>
    </xf>
    <xf numFmtId="0" fontId="67" fillId="9" borderId="1" xfId="2" applyNumberFormat="1" applyFont="1" applyFill="1" applyBorder="1" applyAlignment="1">
      <alignment horizontal="center" vertical="center"/>
    </xf>
    <xf numFmtId="0" fontId="68" fillId="9" borderId="3" xfId="2" applyNumberFormat="1" applyFont="1" applyFill="1" applyBorder="1" applyAlignment="1">
      <alignment horizontal="center" vertical="center"/>
    </xf>
    <xf numFmtId="0" fontId="62" fillId="0" borderId="1" xfId="0" applyNumberFormat="1" applyFont="1" applyFill="1" applyBorder="1" applyAlignment="1" applyProtection="1">
      <alignment horizontal="left" vertical="center" wrapText="1"/>
    </xf>
    <xf numFmtId="4" fontId="72" fillId="0" borderId="3" xfId="2" applyNumberFormat="1" applyFont="1" applyFill="1" applyBorder="1" applyAlignment="1">
      <alignment horizontal="center" vertical="center" wrapText="1"/>
    </xf>
    <xf numFmtId="0" fontId="64" fillId="2" borderId="1" xfId="0" applyNumberFormat="1" applyFont="1" applyFill="1" applyBorder="1" applyAlignment="1">
      <alignment horizontal="left" vertical="top" wrapText="1"/>
    </xf>
    <xf numFmtId="0" fontId="64" fillId="2" borderId="1" xfId="2" applyFont="1" applyFill="1" applyBorder="1" applyAlignment="1">
      <alignment horizontal="center" vertical="top" wrapText="1"/>
    </xf>
    <xf numFmtId="49" fontId="64" fillId="2" borderId="3" xfId="2" applyNumberFormat="1" applyFont="1" applyFill="1" applyBorder="1" applyAlignment="1">
      <alignment horizontal="center" vertical="center" wrapText="1"/>
    </xf>
    <xf numFmtId="0" fontId="64" fillId="2" borderId="3" xfId="2" applyNumberFormat="1" applyFont="1" applyFill="1" applyBorder="1" applyAlignment="1">
      <alignment horizontal="center" vertical="center" wrapText="1"/>
    </xf>
    <xf numFmtId="165" fontId="63" fillId="2" borderId="3" xfId="2" applyNumberFormat="1" applyFont="1" applyFill="1" applyBorder="1" applyAlignment="1">
      <alignment horizontal="center" vertical="center"/>
    </xf>
    <xf numFmtId="0" fontId="61" fillId="11" borderId="1" xfId="2" applyFont="1" applyFill="1" applyBorder="1" applyAlignment="1">
      <alignment horizontal="center" vertical="center"/>
    </xf>
    <xf numFmtId="0" fontId="64" fillId="11" borderId="1" xfId="2" applyNumberFormat="1" applyFont="1" applyFill="1" applyBorder="1" applyAlignment="1">
      <alignment horizontal="left" vertical="center" wrapText="1"/>
    </xf>
    <xf numFmtId="0" fontId="64" fillId="11" borderId="1" xfId="2" applyFont="1" applyFill="1" applyBorder="1" applyAlignment="1">
      <alignment horizontal="center" vertical="center" wrapText="1"/>
    </xf>
    <xf numFmtId="49" fontId="64" fillId="11" borderId="3" xfId="2" applyNumberFormat="1" applyFont="1" applyFill="1" applyBorder="1" applyAlignment="1">
      <alignment horizontal="center" vertical="center" wrapText="1"/>
    </xf>
    <xf numFmtId="4" fontId="66" fillId="11" borderId="3" xfId="2" applyNumberFormat="1" applyFont="1" applyFill="1" applyBorder="1" applyAlignment="1">
      <alignment horizontal="center" vertical="center"/>
    </xf>
    <xf numFmtId="0" fontId="64" fillId="11" borderId="3" xfId="2" applyNumberFormat="1" applyFont="1" applyFill="1" applyBorder="1" applyAlignment="1">
      <alignment horizontal="center" vertical="center"/>
    </xf>
    <xf numFmtId="0" fontId="64" fillId="0" borderId="1" xfId="0" applyNumberFormat="1" applyFont="1" applyFill="1" applyBorder="1" applyAlignment="1">
      <alignment horizontal="left" wrapText="1"/>
    </xf>
    <xf numFmtId="0" fontId="63" fillId="0" borderId="3" xfId="2" applyFont="1" applyFill="1" applyBorder="1" applyAlignment="1">
      <alignment horizontal="center" vertical="center"/>
    </xf>
    <xf numFmtId="0" fontId="63" fillId="0" borderId="1" xfId="2" applyFont="1" applyFill="1" applyBorder="1" applyAlignment="1">
      <alignment horizontal="center" vertical="center"/>
    </xf>
    <xf numFmtId="0" fontId="62" fillId="0" borderId="1" xfId="0" applyNumberFormat="1" applyFont="1" applyFill="1" applyBorder="1" applyAlignment="1">
      <alignment horizontal="left" wrapText="1"/>
    </xf>
    <xf numFmtId="0" fontId="62" fillId="2" borderId="1" xfId="0" applyNumberFormat="1" applyFont="1" applyFill="1" applyBorder="1" applyAlignment="1">
      <alignment horizontal="left" wrapText="1"/>
    </xf>
    <xf numFmtId="165" fontId="63" fillId="4" borderId="1" xfId="2" applyNumberFormat="1" applyFont="1" applyFill="1" applyBorder="1" applyAlignment="1">
      <alignment horizontal="center" vertical="center"/>
    </xf>
    <xf numFmtId="0" fontId="67" fillId="0" borderId="3" xfId="2" applyNumberFormat="1" applyFont="1" applyFill="1" applyBorder="1" applyAlignment="1">
      <alignment horizontal="center" vertical="center" wrapText="1"/>
    </xf>
    <xf numFmtId="0" fontId="61" fillId="4" borderId="1" xfId="2" applyNumberFormat="1" applyFont="1" applyFill="1" applyBorder="1" applyAlignment="1">
      <alignment horizontal="left" vertical="center"/>
    </xf>
    <xf numFmtId="0" fontId="61" fillId="4" borderId="3" xfId="2" applyFont="1" applyFill="1" applyBorder="1" applyAlignment="1">
      <alignment horizontal="center" vertical="center"/>
    </xf>
    <xf numFmtId="0" fontId="63" fillId="9" borderId="3" xfId="2" applyFont="1" applyFill="1" applyBorder="1" applyAlignment="1">
      <alignment horizontal="center" vertical="center" wrapText="1"/>
    </xf>
    <xf numFmtId="0" fontId="62" fillId="11" borderId="1" xfId="2" applyFont="1" applyFill="1" applyBorder="1" applyAlignment="1">
      <alignment horizontal="center" vertical="center"/>
    </xf>
    <xf numFmtId="49" fontId="62" fillId="11" borderId="3" xfId="2" applyNumberFormat="1" applyFont="1" applyFill="1" applyBorder="1" applyAlignment="1">
      <alignment horizontal="center" vertical="center"/>
    </xf>
    <xf numFmtId="0" fontId="64" fillId="11" borderId="1" xfId="2" applyNumberFormat="1" applyFont="1" applyFill="1" applyBorder="1" applyAlignment="1">
      <alignment horizontal="center" vertical="center"/>
    </xf>
    <xf numFmtId="0" fontId="64" fillId="2" borderId="1" xfId="2" applyNumberFormat="1" applyFont="1" applyFill="1" applyBorder="1" applyAlignment="1">
      <alignment horizontal="left" vertical="top" wrapText="1"/>
    </xf>
    <xf numFmtId="0" fontId="64" fillId="2" borderId="1" xfId="2" applyNumberFormat="1" applyFont="1" applyFill="1" applyBorder="1" applyAlignment="1">
      <alignment horizontal="left" vertical="center" wrapText="1"/>
    </xf>
    <xf numFmtId="0" fontId="64" fillId="2" borderId="1" xfId="2" applyFont="1" applyFill="1" applyBorder="1" applyAlignment="1">
      <alignment horizontal="center" vertical="center" wrapText="1"/>
    </xf>
    <xf numFmtId="0" fontId="67" fillId="0" borderId="1" xfId="2" applyNumberFormat="1" applyFont="1" applyFill="1" applyBorder="1" applyAlignment="1">
      <alignment horizontal="center" vertical="center"/>
    </xf>
    <xf numFmtId="165" fontId="63" fillId="2" borderId="1" xfId="2" applyNumberFormat="1" applyFont="1" applyFill="1" applyBorder="1" applyAlignment="1">
      <alignment horizontal="center" vertical="center"/>
    </xf>
    <xf numFmtId="0" fontId="60" fillId="0" borderId="3" xfId="2" applyFont="1" applyFill="1" applyBorder="1" applyAlignment="1"/>
    <xf numFmtId="0" fontId="66" fillId="0" borderId="3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3" fillId="8" borderId="3" xfId="2" applyFont="1" applyFill="1" applyBorder="1" applyAlignment="1">
      <alignment horizontal="center" wrapText="1"/>
    </xf>
    <xf numFmtId="165" fontId="61" fillId="2" borderId="1" xfId="2" applyNumberFormat="1" applyFont="1" applyFill="1" applyBorder="1" applyAlignment="1">
      <alignment horizontal="center" vertical="center"/>
    </xf>
    <xf numFmtId="0" fontId="62" fillId="2" borderId="1" xfId="2" applyNumberFormat="1" applyFont="1" applyFill="1" applyBorder="1" applyAlignment="1">
      <alignment horizontal="left" vertical="center" wrapText="1"/>
    </xf>
    <xf numFmtId="0" fontId="61" fillId="0" borderId="1" xfId="2" applyNumberFormat="1" applyFont="1" applyFill="1" applyBorder="1" applyAlignment="1">
      <alignment horizontal="left" vertical="top" wrapText="1"/>
    </xf>
    <xf numFmtId="0" fontId="61" fillId="0" borderId="1" xfId="2" applyFont="1" applyFill="1" applyBorder="1" applyAlignment="1">
      <alignment horizontal="center" vertical="top" wrapText="1"/>
    </xf>
    <xf numFmtId="49" fontId="61" fillId="0" borderId="3" xfId="2" applyNumberFormat="1" applyFont="1" applyFill="1" applyBorder="1" applyAlignment="1">
      <alignment horizontal="center" vertical="center" wrapText="1"/>
    </xf>
    <xf numFmtId="165" fontId="63" fillId="11" borderId="1" xfId="2" applyNumberFormat="1" applyFont="1" applyFill="1" applyBorder="1" applyAlignment="1">
      <alignment horizontal="center" vertical="center"/>
    </xf>
    <xf numFmtId="0" fontId="67" fillId="11" borderId="1" xfId="2" applyNumberFormat="1" applyFont="1" applyFill="1" applyBorder="1" applyAlignment="1">
      <alignment horizontal="center" vertical="center"/>
    </xf>
    <xf numFmtId="0" fontId="66" fillId="11" borderId="1" xfId="0" applyFont="1" applyFill="1" applyBorder="1" applyAlignment="1">
      <alignment horizontal="center" vertical="center" wrapText="1"/>
    </xf>
    <xf numFmtId="4" fontId="72" fillId="11" borderId="3" xfId="2" applyNumberFormat="1" applyFont="1" applyFill="1" applyBorder="1" applyAlignment="1">
      <alignment horizontal="center" vertical="center" wrapText="1"/>
    </xf>
    <xf numFmtId="4" fontId="66" fillId="4" borderId="1" xfId="2" applyNumberFormat="1" applyFont="1" applyFill="1" applyBorder="1" applyAlignment="1">
      <alignment horizontal="center" vertical="center"/>
    </xf>
    <xf numFmtId="0" fontId="67" fillId="4" borderId="1" xfId="2" applyNumberFormat="1" applyFont="1" applyFill="1" applyBorder="1" applyAlignment="1">
      <alignment horizontal="center" vertical="center"/>
    </xf>
    <xf numFmtId="0" fontId="64" fillId="4" borderId="3" xfId="2" applyNumberFormat="1" applyFont="1" applyFill="1" applyBorder="1" applyAlignment="1">
      <alignment horizontal="center" vertical="center"/>
    </xf>
    <xf numFmtId="14" fontId="61" fillId="4" borderId="1" xfId="2" applyNumberFormat="1" applyFont="1" applyFill="1" applyBorder="1" applyAlignment="1">
      <alignment horizontal="center" vertical="center" wrapText="1"/>
    </xf>
    <xf numFmtId="14" fontId="62" fillId="2" borderId="1" xfId="2" applyNumberFormat="1" applyFont="1" applyFill="1" applyBorder="1" applyAlignment="1">
      <alignment horizontal="center" vertical="center" wrapText="1"/>
    </xf>
    <xf numFmtId="0" fontId="65" fillId="0" borderId="3" xfId="2" applyNumberFormat="1" applyFont="1" applyFill="1" applyBorder="1" applyAlignment="1">
      <alignment horizontal="center" vertical="center"/>
    </xf>
    <xf numFmtId="0" fontId="64" fillId="0" borderId="1" xfId="2" applyNumberFormat="1" applyFont="1" applyFill="1" applyBorder="1" applyAlignment="1">
      <alignment horizontal="left" vertical="center" wrapText="1"/>
    </xf>
    <xf numFmtId="14" fontId="64" fillId="2" borderId="1" xfId="2" applyNumberFormat="1" applyFont="1" applyFill="1" applyBorder="1" applyAlignment="1">
      <alignment horizontal="center" vertical="center" wrapText="1"/>
    </xf>
    <xf numFmtId="49" fontId="62" fillId="4" borderId="1" xfId="2" applyNumberFormat="1" applyFont="1" applyFill="1" applyBorder="1" applyAlignment="1">
      <alignment horizontal="center" vertical="center" wrapText="1"/>
    </xf>
    <xf numFmtId="165" fontId="61" fillId="4" borderId="3" xfId="2" applyNumberFormat="1" applyFont="1" applyFill="1" applyBorder="1" applyAlignment="1">
      <alignment horizontal="center" vertical="center"/>
    </xf>
    <xf numFmtId="0" fontId="67" fillId="4" borderId="3" xfId="2" applyNumberFormat="1" applyFont="1" applyFill="1" applyBorder="1" applyAlignment="1">
      <alignment horizontal="center" vertical="center"/>
    </xf>
    <xf numFmtId="0" fontId="65" fillId="4" borderId="3" xfId="2" applyNumberFormat="1" applyFont="1" applyFill="1" applyBorder="1" applyAlignment="1">
      <alignment horizontal="center" vertical="center"/>
    </xf>
    <xf numFmtId="0" fontId="62" fillId="9" borderId="1" xfId="2" applyNumberFormat="1" applyFont="1" applyFill="1" applyBorder="1" applyAlignment="1">
      <alignment horizontal="left" vertical="center" wrapText="1"/>
    </xf>
    <xf numFmtId="4" fontId="66" fillId="2" borderId="1" xfId="2" applyNumberFormat="1" applyFont="1" applyFill="1" applyBorder="1" applyAlignment="1">
      <alignment horizontal="center" vertical="center"/>
    </xf>
    <xf numFmtId="0" fontId="74" fillId="0" borderId="3" xfId="0" applyFont="1" applyBorder="1" applyAlignment="1">
      <alignment horizontal="center" vertical="top" wrapText="1"/>
    </xf>
    <xf numFmtId="0" fontId="61" fillId="5" borderId="1" xfId="2" applyFont="1" applyFill="1" applyBorder="1" applyAlignment="1">
      <alignment horizontal="center" vertical="center" wrapText="1"/>
    </xf>
    <xf numFmtId="165" fontId="61" fillId="5" borderId="1" xfId="2" applyNumberFormat="1" applyFont="1" applyFill="1" applyBorder="1" applyAlignment="1">
      <alignment horizontal="center" vertical="center"/>
    </xf>
    <xf numFmtId="0" fontId="62" fillId="5" borderId="1" xfId="2" applyNumberFormat="1" applyFont="1" applyFill="1" applyBorder="1" applyAlignment="1">
      <alignment horizontal="left" vertical="center" wrapText="1"/>
    </xf>
    <xf numFmtId="0" fontId="62" fillId="5" borderId="1" xfId="2" applyFont="1" applyFill="1" applyBorder="1" applyAlignment="1">
      <alignment horizontal="center" vertical="center" wrapText="1"/>
    </xf>
    <xf numFmtId="0" fontId="63" fillId="5" borderId="3" xfId="2" applyFont="1" applyFill="1" applyBorder="1" applyAlignment="1">
      <alignment horizontal="center" wrapText="1"/>
    </xf>
    <xf numFmtId="49" fontId="62" fillId="5" borderId="3" xfId="2" applyNumberFormat="1" applyFont="1" applyFill="1" applyBorder="1" applyAlignment="1">
      <alignment horizontal="center" vertical="center" wrapText="1"/>
    </xf>
    <xf numFmtId="165" fontId="63" fillId="5" borderId="1" xfId="2" applyNumberFormat="1" applyFont="1" applyFill="1" applyBorder="1" applyAlignment="1">
      <alignment horizontal="center" vertical="center"/>
    </xf>
    <xf numFmtId="0" fontId="67" fillId="5" borderId="1" xfId="2" applyNumberFormat="1" applyFont="1" applyFill="1" applyBorder="1" applyAlignment="1">
      <alignment horizontal="center" vertical="center"/>
    </xf>
    <xf numFmtId="0" fontId="68" fillId="5" borderId="3" xfId="2" applyNumberFormat="1" applyFont="1" applyFill="1" applyBorder="1" applyAlignment="1">
      <alignment horizontal="center" vertical="center"/>
    </xf>
    <xf numFmtId="0" fontId="66" fillId="11" borderId="1" xfId="0" applyFont="1" applyFill="1" applyBorder="1" applyAlignment="1">
      <alignment horizontal="center" vertical="top" wrapText="1"/>
    </xf>
    <xf numFmtId="0" fontId="74" fillId="11" borderId="3" xfId="0" applyFont="1" applyFill="1" applyBorder="1" applyAlignment="1">
      <alignment horizontal="center" vertical="top" wrapText="1"/>
    </xf>
    <xf numFmtId="165" fontId="63" fillId="5" borderId="3" xfId="2" applyNumberFormat="1" applyFont="1" applyFill="1" applyBorder="1" applyAlignment="1">
      <alignment horizontal="center" vertical="center"/>
    </xf>
    <xf numFmtId="0" fontId="67" fillId="5" borderId="3" xfId="2" applyNumberFormat="1" applyFont="1" applyFill="1" applyBorder="1" applyAlignment="1">
      <alignment horizontal="center" vertical="center"/>
    </xf>
    <xf numFmtId="4" fontId="66" fillId="2" borderId="3" xfId="2" applyNumberFormat="1" applyFont="1" applyFill="1" applyBorder="1" applyAlignment="1">
      <alignment horizontal="center" vertical="center"/>
    </xf>
    <xf numFmtId="49" fontId="62" fillId="2" borderId="5" xfId="2" applyNumberFormat="1" applyFont="1" applyFill="1" applyBorder="1" applyAlignment="1">
      <alignment horizontal="center" vertical="center" wrapText="1"/>
    </xf>
    <xf numFmtId="0" fontId="67" fillId="2" borderId="5" xfId="2" applyNumberFormat="1" applyFont="1" applyFill="1" applyBorder="1" applyAlignment="1">
      <alignment horizontal="center" vertical="center"/>
    </xf>
    <xf numFmtId="0" fontId="67" fillId="0" borderId="6" xfId="2" applyNumberFormat="1" applyFont="1" applyFill="1" applyBorder="1" applyAlignment="1">
      <alignment horizontal="center" vertical="center"/>
    </xf>
    <xf numFmtId="49" fontId="62" fillId="2" borderId="7" xfId="2" applyNumberFormat="1" applyFont="1" applyFill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top" wrapText="1"/>
    </xf>
    <xf numFmtId="0" fontId="74" fillId="0" borderId="7" xfId="0" applyFont="1" applyBorder="1" applyAlignment="1">
      <alignment horizontal="center" vertical="top" wrapText="1"/>
    </xf>
    <xf numFmtId="49" fontId="62" fillId="0" borderId="7" xfId="2" applyNumberFormat="1" applyFont="1" applyFill="1" applyBorder="1" applyAlignment="1">
      <alignment horizontal="center" vertical="center" wrapText="1"/>
    </xf>
    <xf numFmtId="4" fontId="66" fillId="0" borderId="2" xfId="2" applyNumberFormat="1" applyFont="1" applyFill="1" applyBorder="1" applyAlignment="1">
      <alignment horizontal="center" vertical="center"/>
    </xf>
    <xf numFmtId="0" fontId="67" fillId="0" borderId="7" xfId="2" applyNumberFormat="1" applyFont="1" applyFill="1" applyBorder="1" applyAlignment="1">
      <alignment horizontal="center" vertical="center"/>
    </xf>
    <xf numFmtId="49" fontId="64" fillId="4" borderId="3" xfId="2" applyNumberFormat="1" applyFont="1" applyFill="1" applyBorder="1" applyAlignment="1">
      <alignment horizontal="center" vertical="center" wrapText="1"/>
    </xf>
    <xf numFmtId="0" fontId="61" fillId="9" borderId="1" xfId="2" applyFont="1" applyFill="1" applyBorder="1" applyAlignment="1">
      <alignment horizontal="center" vertical="center" wrapText="1"/>
    </xf>
    <xf numFmtId="0" fontId="62" fillId="9" borderId="1" xfId="2" applyFont="1" applyFill="1" applyBorder="1" applyAlignment="1">
      <alignment horizontal="center" vertical="center" wrapText="1"/>
    </xf>
    <xf numFmtId="0" fontId="67" fillId="9" borderId="3" xfId="2" applyNumberFormat="1" applyFont="1" applyFill="1" applyBorder="1" applyAlignment="1">
      <alignment horizontal="center" vertical="center"/>
    </xf>
    <xf numFmtId="0" fontId="62" fillId="4" borderId="1" xfId="2" applyFont="1" applyFill="1" applyBorder="1" applyAlignment="1">
      <alignment horizontal="center"/>
    </xf>
    <xf numFmtId="49" fontId="62" fillId="4" borderId="3" xfId="2" applyNumberFormat="1" applyFont="1" applyFill="1" applyBorder="1" applyAlignment="1">
      <alignment horizontal="center" vertical="center"/>
    </xf>
    <xf numFmtId="3" fontId="65" fillId="4" borderId="1" xfId="2" applyNumberFormat="1" applyFont="1" applyFill="1" applyBorder="1" applyAlignment="1">
      <alignment horizontal="center" vertical="center"/>
    </xf>
    <xf numFmtId="3" fontId="65" fillId="2" borderId="1" xfId="2" applyNumberFormat="1" applyFont="1" applyFill="1" applyBorder="1" applyAlignment="1">
      <alignment horizontal="center" vertical="center"/>
    </xf>
    <xf numFmtId="49" fontId="64" fillId="0" borderId="5" xfId="2" applyNumberFormat="1" applyFont="1" applyFill="1" applyBorder="1" applyAlignment="1">
      <alignment horizontal="center" vertical="center" wrapText="1"/>
    </xf>
    <xf numFmtId="3" fontId="72" fillId="0" borderId="1" xfId="2" applyNumberFormat="1" applyFont="1" applyFill="1" applyBorder="1" applyAlignment="1">
      <alignment horizontal="center" vertical="center"/>
    </xf>
    <xf numFmtId="165" fontId="75" fillId="6" borderId="3" xfId="2" applyNumberFormat="1" applyFont="1" applyFill="1" applyBorder="1" applyAlignment="1">
      <alignment horizontal="center" vertical="center"/>
    </xf>
    <xf numFmtId="0" fontId="64" fillId="0" borderId="1" xfId="2" applyFont="1" applyFill="1" applyBorder="1" applyAlignment="1">
      <alignment horizontal="center" vertical="center" wrapText="1"/>
    </xf>
    <xf numFmtId="49" fontId="64" fillId="0" borderId="1" xfId="2" applyNumberFormat="1" applyFont="1" applyFill="1" applyBorder="1" applyAlignment="1">
      <alignment horizontal="center" vertical="center" wrapText="1"/>
    </xf>
    <xf numFmtId="0" fontId="64" fillId="2" borderId="6" xfId="2" applyNumberFormat="1" applyFont="1" applyFill="1" applyBorder="1" applyAlignment="1">
      <alignment horizontal="center" vertical="center"/>
    </xf>
    <xf numFmtId="3" fontId="65" fillId="2" borderId="10" xfId="2" applyNumberFormat="1" applyFont="1" applyFill="1" applyBorder="1" applyAlignment="1">
      <alignment horizontal="center" vertical="center"/>
    </xf>
    <xf numFmtId="0" fontId="67" fillId="2" borderId="1" xfId="0" applyNumberFormat="1" applyFont="1" applyFill="1" applyBorder="1" applyAlignment="1">
      <alignment vertical="center" wrapText="1"/>
    </xf>
    <xf numFmtId="0" fontId="62" fillId="0" borderId="1" xfId="2" applyNumberFormat="1" applyFont="1" applyFill="1" applyBorder="1" applyAlignment="1">
      <alignment horizontal="left" vertical="top" wrapText="1"/>
    </xf>
    <xf numFmtId="0" fontId="61" fillId="2" borderId="2" xfId="2" applyFont="1" applyFill="1" applyBorder="1" applyAlignment="1">
      <alignment horizontal="center" vertical="center" wrapText="1"/>
    </xf>
    <xf numFmtId="0" fontId="60" fillId="0" borderId="1" xfId="2" applyFont="1" applyFill="1" applyBorder="1" applyAlignment="1"/>
    <xf numFmtId="165" fontId="63" fillId="0" borderId="7" xfId="2" applyNumberFormat="1" applyFont="1" applyFill="1" applyBorder="1" applyAlignment="1">
      <alignment horizontal="center" vertical="center"/>
    </xf>
    <xf numFmtId="0" fontId="73" fillId="0" borderId="1" xfId="2" applyFont="1" applyFill="1" applyBorder="1" applyAlignment="1"/>
    <xf numFmtId="0" fontId="72" fillId="4" borderId="1" xfId="2" applyNumberFormat="1" applyFont="1" applyFill="1" applyBorder="1" applyAlignment="1">
      <alignment horizontal="left" vertical="top" wrapText="1"/>
    </xf>
    <xf numFmtId="49" fontId="64" fillId="4" borderId="1" xfId="2" applyNumberFormat="1" applyFont="1" applyFill="1" applyBorder="1" applyAlignment="1">
      <alignment horizontal="center" vertical="center" wrapText="1"/>
    </xf>
    <xf numFmtId="0" fontId="60" fillId="4" borderId="1" xfId="2" applyFont="1" applyFill="1" applyBorder="1" applyAlignment="1"/>
    <xf numFmtId="4" fontId="72" fillId="4" borderId="3" xfId="2" applyNumberFormat="1" applyFont="1" applyFill="1" applyBorder="1" applyAlignment="1">
      <alignment horizontal="center" vertical="center" wrapText="1"/>
    </xf>
    <xf numFmtId="49" fontId="76" fillId="2" borderId="3" xfId="2" applyNumberFormat="1" applyFont="1" applyFill="1" applyBorder="1" applyAlignment="1">
      <alignment horizontal="center" vertical="center" wrapText="1"/>
    </xf>
    <xf numFmtId="49" fontId="62" fillId="11" borderId="1" xfId="2" applyNumberFormat="1" applyFont="1" applyFill="1" applyBorder="1" applyAlignment="1">
      <alignment horizontal="center" vertical="center" wrapText="1"/>
    </xf>
    <xf numFmtId="165" fontId="63" fillId="6" borderId="1" xfId="2" applyNumberFormat="1" applyFont="1" applyFill="1" applyBorder="1" applyAlignment="1">
      <alignment horizontal="center" vertical="center"/>
    </xf>
    <xf numFmtId="0" fontId="63" fillId="11" borderId="1" xfId="2" applyFont="1" applyFill="1" applyBorder="1" applyAlignment="1">
      <alignment horizontal="center" vertical="center"/>
    </xf>
    <xf numFmtId="0" fontId="63" fillId="11" borderId="3" xfId="2" applyFont="1" applyFill="1" applyBorder="1" applyAlignment="1">
      <alignment horizontal="center" vertical="center"/>
    </xf>
    <xf numFmtId="0" fontId="62" fillId="11" borderId="1" xfId="0" applyNumberFormat="1" applyFont="1" applyFill="1" applyBorder="1" applyAlignment="1" applyProtection="1">
      <alignment horizontal="left" vertical="center" wrapText="1"/>
    </xf>
    <xf numFmtId="165" fontId="61" fillId="2" borderId="3" xfId="2" applyNumberFormat="1" applyFont="1" applyFill="1" applyBorder="1" applyAlignment="1">
      <alignment horizontal="center" vertical="center"/>
    </xf>
    <xf numFmtId="14" fontId="62" fillId="0" borderId="1" xfId="2" applyNumberFormat="1" applyFont="1" applyFill="1" applyBorder="1" applyAlignment="1">
      <alignment horizontal="center" vertical="center" wrapText="1"/>
    </xf>
    <xf numFmtId="0" fontId="76" fillId="0" borderId="1" xfId="2" applyNumberFormat="1" applyFont="1" applyFill="1" applyBorder="1" applyAlignment="1">
      <alignment horizontal="left" vertical="center" wrapText="1"/>
    </xf>
    <xf numFmtId="0" fontId="67" fillId="2" borderId="3" xfId="2" applyNumberFormat="1" applyFont="1" applyFill="1" applyBorder="1" applyAlignment="1">
      <alignment horizontal="center" vertical="top" wrapText="1"/>
    </xf>
    <xf numFmtId="0" fontId="68" fillId="2" borderId="3" xfId="2" applyNumberFormat="1" applyFont="1" applyFill="1" applyBorder="1" applyAlignment="1">
      <alignment horizontal="center"/>
    </xf>
    <xf numFmtId="0" fontId="67" fillId="0" borderId="3" xfId="2" applyNumberFormat="1" applyFont="1" applyFill="1" applyBorder="1" applyAlignment="1">
      <alignment horizontal="center"/>
    </xf>
    <xf numFmtId="0" fontId="67" fillId="2" borderId="1" xfId="2" applyNumberFormat="1" applyFont="1" applyFill="1" applyBorder="1" applyAlignment="1">
      <alignment horizontal="center"/>
    </xf>
    <xf numFmtId="14" fontId="62" fillId="11" borderId="1" xfId="2" applyNumberFormat="1" applyFont="1" applyFill="1" applyBorder="1" applyAlignment="1">
      <alignment horizontal="center" vertical="center" wrapText="1"/>
    </xf>
    <xf numFmtId="0" fontId="63" fillId="11" borderId="3" xfId="2" applyFont="1" applyFill="1" applyBorder="1" applyAlignment="1">
      <alignment horizontal="center"/>
    </xf>
    <xf numFmtId="0" fontId="63" fillId="11" borderId="1" xfId="2" applyFont="1" applyFill="1" applyBorder="1" applyAlignment="1">
      <alignment horizontal="center"/>
    </xf>
    <xf numFmtId="0" fontId="67" fillId="11" borderId="1" xfId="2" applyNumberFormat="1" applyFont="1" applyFill="1" applyBorder="1" applyAlignment="1">
      <alignment horizontal="center"/>
    </xf>
    <xf numFmtId="0" fontId="68" fillId="11" borderId="3" xfId="2" applyNumberFormat="1" applyFont="1" applyFill="1" applyBorder="1" applyAlignment="1">
      <alignment horizontal="center"/>
    </xf>
    <xf numFmtId="0" fontId="67" fillId="2" borderId="3" xfId="2" applyNumberFormat="1" applyFont="1" applyFill="1" applyBorder="1" applyAlignment="1">
      <alignment horizontal="center"/>
    </xf>
    <xf numFmtId="0" fontId="63" fillId="0" borderId="1" xfId="2" applyFont="1" applyFill="1" applyBorder="1" applyAlignment="1">
      <alignment horizontal="center"/>
    </xf>
    <xf numFmtId="0" fontId="63" fillId="9" borderId="3" xfId="2" applyFont="1" applyFill="1" applyBorder="1" applyAlignment="1">
      <alignment horizontal="center"/>
    </xf>
    <xf numFmtId="0" fontId="63" fillId="6" borderId="3" xfId="2" applyFont="1" applyFill="1" applyBorder="1" applyAlignment="1">
      <alignment horizontal="center"/>
    </xf>
    <xf numFmtId="3" fontId="72" fillId="4" borderId="10" xfId="2" applyNumberFormat="1" applyFont="1" applyFill="1" applyBorder="1" applyAlignment="1">
      <alignment horizontal="center" vertical="center"/>
    </xf>
    <xf numFmtId="0" fontId="63" fillId="2" borderId="3" xfId="2" applyFont="1" applyFill="1" applyBorder="1" applyAlignment="1">
      <alignment horizontal="center"/>
    </xf>
    <xf numFmtId="0" fontId="63" fillId="8" borderId="3" xfId="2" applyFont="1" applyFill="1" applyBorder="1" applyAlignment="1">
      <alignment horizontal="center"/>
    </xf>
    <xf numFmtId="0" fontId="78" fillId="0" borderId="1" xfId="0" applyFont="1" applyBorder="1" applyAlignment="1">
      <alignment horizontal="center" vertical="top" wrapText="1"/>
    </xf>
    <xf numFmtId="0" fontId="74" fillId="0" borderId="1" xfId="0" applyNumberFormat="1" applyFont="1" applyBorder="1" applyAlignment="1">
      <alignment vertical="top" wrapText="1"/>
    </xf>
    <xf numFmtId="0" fontId="74" fillId="7" borderId="1" xfId="0" applyFont="1" applyFill="1" applyBorder="1" applyAlignment="1">
      <alignment horizontal="center" vertical="top" wrapText="1"/>
    </xf>
    <xf numFmtId="0" fontId="74" fillId="7" borderId="3" xfId="0" applyFont="1" applyFill="1" applyBorder="1" applyAlignment="1">
      <alignment horizontal="center"/>
    </xf>
    <xf numFmtId="0" fontId="79" fillId="7" borderId="3" xfId="0" applyFont="1" applyFill="1" applyBorder="1" applyAlignment="1">
      <alignment horizontal="center"/>
    </xf>
    <xf numFmtId="165" fontId="63" fillId="9" borderId="1" xfId="2" applyNumberFormat="1" applyFont="1" applyFill="1" applyBorder="1" applyAlignment="1">
      <alignment horizontal="center" vertical="center"/>
    </xf>
    <xf numFmtId="0" fontId="63" fillId="0" borderId="3" xfId="2" applyFont="1" applyFill="1" applyBorder="1" applyAlignment="1">
      <alignment horizontal="center" wrapText="1"/>
    </xf>
    <xf numFmtId="4" fontId="66" fillId="5" borderId="1" xfId="2" applyNumberFormat="1" applyFont="1" applyFill="1" applyBorder="1" applyAlignment="1">
      <alignment horizontal="center" vertical="center"/>
    </xf>
    <xf numFmtId="0" fontId="68" fillId="5" borderId="3" xfId="2" applyNumberFormat="1" applyFont="1" applyFill="1" applyBorder="1" applyAlignment="1">
      <alignment horizontal="center"/>
    </xf>
    <xf numFmtId="0" fontId="65" fillId="5" borderId="3" xfId="2" applyNumberFormat="1" applyFont="1" applyFill="1" applyBorder="1" applyAlignment="1">
      <alignment horizontal="center" vertical="center"/>
    </xf>
    <xf numFmtId="0" fontId="63" fillId="0" borderId="5" xfId="2" applyFont="1" applyFill="1" applyBorder="1" applyAlignment="1">
      <alignment horizontal="center"/>
    </xf>
    <xf numFmtId="0" fontId="68" fillId="2" borderId="5" xfId="2" applyNumberFormat="1" applyFont="1" applyFill="1" applyBorder="1" applyAlignment="1">
      <alignment horizontal="center"/>
    </xf>
    <xf numFmtId="0" fontId="78" fillId="0" borderId="4" xfId="0" applyFont="1" applyBorder="1" applyAlignment="1">
      <alignment horizontal="center" vertical="top" wrapText="1"/>
    </xf>
    <xf numFmtId="0" fontId="74" fillId="0" borderId="4" xfId="0" applyNumberFormat="1" applyFont="1" applyBorder="1" applyAlignment="1">
      <alignment vertical="top" wrapText="1"/>
    </xf>
    <xf numFmtId="0" fontId="74" fillId="7" borderId="4" xfId="0" applyFont="1" applyFill="1" applyBorder="1" applyAlignment="1">
      <alignment horizontal="center" vertical="top" wrapText="1"/>
    </xf>
    <xf numFmtId="0" fontId="61" fillId="0" borderId="4" xfId="0" applyFont="1" applyBorder="1" applyAlignment="1">
      <alignment horizontal="center" vertical="top" wrapText="1"/>
    </xf>
    <xf numFmtId="0" fontId="74" fillId="7" borderId="5" xfId="0" applyFont="1" applyFill="1" applyBorder="1" applyAlignment="1">
      <alignment horizontal="center" vertical="top" wrapText="1"/>
    </xf>
    <xf numFmtId="0" fontId="64" fillId="2" borderId="5" xfId="2" applyNumberFormat="1" applyFont="1" applyFill="1" applyBorder="1" applyAlignment="1">
      <alignment horizontal="center" vertical="center"/>
    </xf>
    <xf numFmtId="0" fontId="67" fillId="2" borderId="4" xfId="2" applyNumberFormat="1" applyFont="1" applyFill="1" applyBorder="1" applyAlignment="1">
      <alignment horizontal="center" vertical="center"/>
    </xf>
    <xf numFmtId="0" fontId="64" fillId="2" borderId="4" xfId="2" applyNumberFormat="1" applyFont="1" applyFill="1" applyBorder="1" applyAlignment="1">
      <alignment horizontal="center" vertical="center"/>
    </xf>
    <xf numFmtId="4" fontId="66" fillId="9" borderId="3" xfId="2" applyNumberFormat="1" applyFont="1" applyFill="1" applyBorder="1" applyAlignment="1">
      <alignment horizontal="center" vertical="center"/>
    </xf>
    <xf numFmtId="0" fontId="64" fillId="2" borderId="1" xfId="0" applyNumberFormat="1" applyFont="1" applyFill="1" applyBorder="1" applyAlignment="1">
      <alignment horizontal="left" vertical="center" wrapText="1"/>
    </xf>
    <xf numFmtId="0" fontId="61" fillId="2" borderId="4" xfId="2" applyFont="1" applyFill="1" applyBorder="1" applyAlignment="1">
      <alignment horizontal="center" vertical="center" wrapText="1"/>
    </xf>
    <xf numFmtId="0" fontId="64" fillId="2" borderId="4" xfId="2" applyFont="1" applyFill="1" applyBorder="1" applyAlignment="1">
      <alignment horizontal="left" vertical="center" wrapText="1"/>
    </xf>
    <xf numFmtId="0" fontId="64" fillId="2" borderId="4" xfId="2" applyFont="1" applyFill="1" applyBorder="1" applyAlignment="1">
      <alignment horizontal="center" vertical="center" wrapText="1"/>
    </xf>
    <xf numFmtId="165" fontId="63" fillId="6" borderId="4" xfId="2" applyNumberFormat="1" applyFont="1" applyFill="1" applyBorder="1" applyAlignment="1">
      <alignment horizontal="center" vertical="center"/>
    </xf>
    <xf numFmtId="49" fontId="62" fillId="2" borderId="4" xfId="2" applyNumberFormat="1" applyFont="1" applyFill="1" applyBorder="1" applyAlignment="1">
      <alignment horizontal="center" vertical="center" wrapText="1"/>
    </xf>
    <xf numFmtId="0" fontId="68" fillId="2" borderId="26" xfId="2" applyNumberFormat="1" applyFont="1" applyFill="1" applyBorder="1" applyAlignment="1">
      <alignment horizontal="center" vertical="center"/>
    </xf>
    <xf numFmtId="0" fontId="66" fillId="0" borderId="3" xfId="0" applyFont="1" applyBorder="1" applyAlignment="1">
      <alignment horizontal="center"/>
    </xf>
    <xf numFmtId="0" fontId="61" fillId="0" borderId="1" xfId="2" applyFont="1" applyFill="1" applyBorder="1" applyAlignment="1">
      <alignment horizontal="center"/>
    </xf>
    <xf numFmtId="0" fontId="62" fillId="0" borderId="1" xfId="2" applyFont="1" applyFill="1" applyBorder="1" applyAlignment="1">
      <alignment horizontal="center" vertical="top" wrapText="1"/>
    </xf>
    <xf numFmtId="0" fontId="67" fillId="0" borderId="5" xfId="2" applyNumberFormat="1" applyFont="1" applyFill="1" applyBorder="1" applyAlignment="1">
      <alignment horizontal="center" vertical="center"/>
    </xf>
    <xf numFmtId="0" fontId="62" fillId="2" borderId="1" xfId="2" applyNumberFormat="1" applyFont="1" applyFill="1" applyBorder="1" applyAlignment="1">
      <alignment horizontal="left" vertical="top" wrapText="1"/>
    </xf>
    <xf numFmtId="0" fontId="62" fillId="2" borderId="1" xfId="2" applyFont="1" applyFill="1" applyBorder="1" applyAlignment="1">
      <alignment horizontal="center" vertical="top" wrapText="1"/>
    </xf>
    <xf numFmtId="0" fontId="67" fillId="2" borderId="7" xfId="2" applyNumberFormat="1" applyFont="1" applyFill="1" applyBorder="1" applyAlignment="1">
      <alignment horizontal="center" vertical="center"/>
    </xf>
    <xf numFmtId="0" fontId="67" fillId="11" borderId="3" xfId="2" applyNumberFormat="1" applyFont="1" applyFill="1" applyBorder="1" applyAlignment="1">
      <alignment horizontal="center" vertical="center" wrapText="1"/>
    </xf>
    <xf numFmtId="0" fontId="62" fillId="7" borderId="7" xfId="0" applyFont="1" applyFill="1" applyBorder="1" applyAlignment="1">
      <alignment horizontal="center" wrapText="1"/>
    </xf>
    <xf numFmtId="0" fontId="66" fillId="0" borderId="1" xfId="0" applyFont="1" applyBorder="1" applyAlignment="1">
      <alignment horizontal="center"/>
    </xf>
    <xf numFmtId="0" fontId="74" fillId="7" borderId="7" xfId="0" applyFont="1" applyFill="1" applyBorder="1" applyAlignment="1">
      <alignment horizontal="center"/>
    </xf>
    <xf numFmtId="0" fontId="62" fillId="11" borderId="3" xfId="0" applyFont="1" applyFill="1" applyBorder="1" applyAlignment="1">
      <alignment horizontal="center" wrapText="1"/>
    </xf>
    <xf numFmtId="0" fontId="66" fillId="11" borderId="1" xfId="0" applyFont="1" applyFill="1" applyBorder="1" applyAlignment="1">
      <alignment horizontal="center"/>
    </xf>
    <xf numFmtId="0" fontId="74" fillId="11" borderId="3" xfId="0" applyFont="1" applyFill="1" applyBorder="1" applyAlignment="1">
      <alignment horizontal="center"/>
    </xf>
    <xf numFmtId="0" fontId="63" fillId="5" borderId="3" xfId="2" applyFont="1" applyFill="1" applyBorder="1" applyAlignment="1">
      <alignment horizontal="center" vertical="center" wrapText="1"/>
    </xf>
    <xf numFmtId="0" fontId="64" fillId="5" borderId="1" xfId="2" applyNumberFormat="1" applyFont="1" applyFill="1" applyBorder="1" applyAlignment="1">
      <alignment horizontal="center" vertical="center"/>
    </xf>
    <xf numFmtId="0" fontId="64" fillId="5" borderId="3" xfId="2" applyNumberFormat="1" applyFont="1" applyFill="1" applyBorder="1" applyAlignment="1">
      <alignment horizontal="center" vertical="center"/>
    </xf>
    <xf numFmtId="4" fontId="66" fillId="10" borderId="1" xfId="2" applyNumberFormat="1" applyFont="1" applyFill="1" applyBorder="1" applyAlignment="1">
      <alignment horizontal="center" vertical="center"/>
    </xf>
    <xf numFmtId="0" fontId="62" fillId="0" borderId="1" xfId="0" applyNumberFormat="1" applyFont="1" applyFill="1" applyBorder="1" applyAlignment="1" applyProtection="1">
      <alignment horizontal="left" vertical="top" wrapText="1"/>
    </xf>
    <xf numFmtId="0" fontId="64" fillId="0" borderId="3" xfId="2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wrapText="1"/>
    </xf>
    <xf numFmtId="0" fontId="62" fillId="0" borderId="1" xfId="0" applyNumberFormat="1" applyFont="1" applyBorder="1" applyAlignment="1">
      <alignment wrapText="1"/>
    </xf>
    <xf numFmtId="49" fontId="64" fillId="5" borderId="3" xfId="2" applyNumberFormat="1" applyFont="1" applyFill="1" applyBorder="1" applyAlignment="1">
      <alignment horizontal="center" vertical="center" wrapText="1"/>
    </xf>
    <xf numFmtId="4" fontId="72" fillId="5" borderId="3" xfId="2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61" fillId="11" borderId="4" xfId="2" applyFont="1" applyFill="1" applyBorder="1" applyAlignment="1">
      <alignment horizontal="center" vertical="center"/>
    </xf>
    <xf numFmtId="165" fontId="61" fillId="11" borderId="4" xfId="2" applyNumberFormat="1" applyFont="1" applyFill="1" applyBorder="1" applyAlignment="1">
      <alignment horizontal="center" vertical="center"/>
    </xf>
    <xf numFmtId="0" fontId="62" fillId="11" borderId="4" xfId="2" applyNumberFormat="1" applyFont="1" applyFill="1" applyBorder="1" applyAlignment="1">
      <alignment horizontal="left" vertical="center" wrapText="1"/>
    </xf>
    <xf numFmtId="0" fontId="64" fillId="11" borderId="4" xfId="2" applyFont="1" applyFill="1" applyBorder="1" applyAlignment="1">
      <alignment horizontal="center" vertical="center" wrapText="1"/>
    </xf>
    <xf numFmtId="49" fontId="64" fillId="11" borderId="1" xfId="2" applyNumberFormat="1" applyFont="1" applyFill="1" applyBorder="1" applyAlignment="1">
      <alignment horizontal="center" vertical="center" wrapText="1"/>
    </xf>
    <xf numFmtId="0" fontId="64" fillId="0" borderId="3" xfId="2" applyFont="1" applyFill="1" applyBorder="1" applyAlignment="1">
      <alignment horizontal="center" vertical="center" wrapText="1"/>
    </xf>
    <xf numFmtId="165" fontId="63" fillId="6" borderId="7" xfId="2" applyNumberFormat="1" applyFont="1" applyFill="1" applyBorder="1" applyAlignment="1">
      <alignment horizontal="center" vertical="center"/>
    </xf>
    <xf numFmtId="0" fontId="61" fillId="11" borderId="2" xfId="0" applyFont="1" applyFill="1" applyBorder="1" applyAlignment="1">
      <alignment horizontal="center" vertical="center"/>
    </xf>
    <xf numFmtId="0" fontId="62" fillId="11" borderId="2" xfId="2" applyFont="1" applyFill="1" applyBorder="1" applyAlignment="1">
      <alignment horizontal="center" vertical="center" wrapText="1"/>
    </xf>
    <xf numFmtId="165" fontId="63" fillId="11" borderId="7" xfId="2" applyNumberFormat="1" applyFont="1" applyFill="1" applyBorder="1" applyAlignment="1">
      <alignment horizontal="center" vertical="center"/>
    </xf>
    <xf numFmtId="165" fontId="63" fillId="9" borderId="7" xfId="2" applyNumberFormat="1" applyFont="1" applyFill="1" applyBorder="1" applyAlignment="1">
      <alignment horizontal="center" vertical="center"/>
    </xf>
    <xf numFmtId="0" fontId="61" fillId="0" borderId="2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/>
    </xf>
    <xf numFmtId="0" fontId="62" fillId="0" borderId="2" xfId="0" applyNumberFormat="1" applyFont="1" applyBorder="1" applyAlignment="1">
      <alignment vertical="center" wrapText="1"/>
    </xf>
    <xf numFmtId="0" fontId="62" fillId="0" borderId="2" xfId="0" applyFont="1" applyBorder="1" applyAlignment="1">
      <alignment horizontal="center" wrapText="1"/>
    </xf>
    <xf numFmtId="0" fontId="61" fillId="0" borderId="2" xfId="0" applyFont="1" applyFill="1" applyBorder="1" applyAlignment="1">
      <alignment horizontal="center" wrapText="1"/>
    </xf>
    <xf numFmtId="0" fontId="61" fillId="0" borderId="2" xfId="0" applyFont="1" applyBorder="1" applyAlignment="1">
      <alignment horizontal="center"/>
    </xf>
    <xf numFmtId="0" fontId="62" fillId="0" borderId="2" xfId="0" applyNumberFormat="1" applyFont="1" applyBorder="1" applyAlignment="1">
      <alignment wrapText="1"/>
    </xf>
    <xf numFmtId="0" fontId="61" fillId="4" borderId="2" xfId="2" applyFont="1" applyFill="1" applyBorder="1" applyAlignment="1">
      <alignment horizontal="center" vertical="center"/>
    </xf>
    <xf numFmtId="0" fontId="61" fillId="4" borderId="2" xfId="2" applyFont="1" applyFill="1" applyBorder="1" applyAlignment="1">
      <alignment horizontal="center"/>
    </xf>
    <xf numFmtId="0" fontId="61" fillId="4" borderId="2" xfId="2" applyNumberFormat="1" applyFont="1" applyFill="1" applyBorder="1" applyAlignment="1">
      <alignment horizontal="left" vertical="top" wrapText="1"/>
    </xf>
    <xf numFmtId="0" fontId="61" fillId="4" borderId="2" xfId="2" applyFont="1" applyFill="1" applyBorder="1" applyAlignment="1">
      <alignment horizontal="center" vertical="top" wrapText="1"/>
    </xf>
    <xf numFmtId="0" fontId="63" fillId="4" borderId="2" xfId="2" applyFont="1" applyFill="1" applyBorder="1" applyAlignment="1">
      <alignment horizontal="center"/>
    </xf>
    <xf numFmtId="0" fontId="61" fillId="7" borderId="1" xfId="0" applyFont="1" applyFill="1" applyBorder="1" applyAlignment="1">
      <alignment horizontal="center"/>
    </xf>
    <xf numFmtId="0" fontId="62" fillId="7" borderId="3" xfId="0" applyFont="1" applyFill="1" applyBorder="1" applyAlignment="1">
      <alignment horizontal="center" wrapText="1"/>
    </xf>
    <xf numFmtId="0" fontId="62" fillId="7" borderId="3" xfId="0" applyFont="1" applyFill="1" applyBorder="1" applyAlignment="1">
      <alignment horizontal="center"/>
    </xf>
    <xf numFmtId="0" fontId="79" fillId="0" borderId="3" xfId="0" applyFont="1" applyBorder="1" applyAlignment="1">
      <alignment horizontal="center"/>
    </xf>
    <xf numFmtId="17" fontId="62" fillId="0" borderId="1" xfId="0" applyNumberFormat="1" applyFont="1" applyBorder="1" applyAlignment="1">
      <alignment horizontal="center" wrapText="1"/>
    </xf>
    <xf numFmtId="0" fontId="75" fillId="0" borderId="3" xfId="0" applyFont="1" applyFill="1" applyBorder="1" applyAlignment="1">
      <alignment horizontal="center"/>
    </xf>
    <xf numFmtId="0" fontId="61" fillId="2" borderId="4" xfId="2" applyFont="1" applyFill="1" applyBorder="1" applyAlignment="1">
      <alignment horizontal="center" vertical="center"/>
    </xf>
    <xf numFmtId="165" fontId="63" fillId="0" borderId="4" xfId="2" applyNumberFormat="1" applyFont="1" applyFill="1" applyBorder="1" applyAlignment="1">
      <alignment horizontal="center" vertical="center"/>
    </xf>
    <xf numFmtId="0" fontId="64" fillId="2" borderId="8" xfId="2" applyNumberFormat="1" applyFont="1" applyFill="1" applyBorder="1" applyAlignment="1">
      <alignment horizontal="center" vertical="center"/>
    </xf>
    <xf numFmtId="0" fontId="68" fillId="0" borderId="5" xfId="2" applyNumberFormat="1" applyFont="1" applyFill="1" applyBorder="1" applyAlignment="1">
      <alignment horizontal="center" vertical="center"/>
    </xf>
    <xf numFmtId="4" fontId="66" fillId="0" borderId="7" xfId="2" applyNumberFormat="1" applyFont="1" applyFill="1" applyBorder="1" applyAlignment="1">
      <alignment horizontal="center" vertical="center"/>
    </xf>
    <xf numFmtId="0" fontId="64" fillId="0" borderId="2" xfId="2" applyNumberFormat="1" applyFont="1" applyFill="1" applyBorder="1" applyAlignment="1">
      <alignment horizontal="center" vertical="center" wrapText="1"/>
    </xf>
    <xf numFmtId="0" fontId="68" fillId="0" borderId="7" xfId="2" applyNumberFormat="1" applyFont="1" applyFill="1" applyBorder="1" applyAlignment="1">
      <alignment horizontal="center" vertical="center"/>
    </xf>
    <xf numFmtId="0" fontId="63" fillId="2" borderId="1" xfId="2" applyFont="1" applyFill="1" applyBorder="1" applyAlignment="1">
      <alignment horizontal="center"/>
    </xf>
    <xf numFmtId="0" fontId="61" fillId="0" borderId="4" xfId="0" applyFont="1" applyBorder="1" applyAlignment="1">
      <alignment horizontal="center" wrapText="1"/>
    </xf>
    <xf numFmtId="0" fontId="61" fillId="0" borderId="4" xfId="0" applyFont="1" applyBorder="1" applyAlignment="1">
      <alignment horizontal="center"/>
    </xf>
    <xf numFmtId="0" fontId="62" fillId="0" borderId="4" xfId="0" applyNumberFormat="1" applyFont="1" applyBorder="1" applyAlignment="1">
      <alignment wrapText="1"/>
    </xf>
    <xf numFmtId="0" fontId="62" fillId="0" borderId="4" xfId="0" applyFont="1" applyBorder="1" applyAlignment="1">
      <alignment horizontal="center" wrapText="1"/>
    </xf>
    <xf numFmtId="0" fontId="62" fillId="0" borderId="5" xfId="0" applyFont="1" applyBorder="1" applyAlignment="1">
      <alignment horizontal="center" wrapText="1"/>
    </xf>
    <xf numFmtId="0" fontId="74" fillId="0" borderId="5" xfId="0" applyFont="1" applyBorder="1" applyAlignment="1">
      <alignment horizontal="center"/>
    </xf>
    <xf numFmtId="4" fontId="66" fillId="11" borderId="4" xfId="2" applyNumberFormat="1" applyFont="1" applyFill="1" applyBorder="1" applyAlignment="1">
      <alignment horizontal="center" vertical="center"/>
    </xf>
    <xf numFmtId="0" fontId="61" fillId="4" borderId="3" xfId="2" applyFont="1" applyFill="1" applyBorder="1" applyAlignment="1">
      <alignment vertical="top" wrapText="1"/>
    </xf>
    <xf numFmtId="0" fontId="61" fillId="4" borderId="3" xfId="2" applyNumberFormat="1" applyFont="1" applyFill="1" applyBorder="1" applyAlignment="1">
      <alignment vertical="top" wrapText="1"/>
    </xf>
    <xf numFmtId="49" fontId="63" fillId="4" borderId="1" xfId="2" applyNumberFormat="1" applyFont="1" applyFill="1" applyBorder="1" applyAlignment="1">
      <alignment horizontal="center"/>
    </xf>
    <xf numFmtId="0" fontId="64" fillId="4" borderId="1" xfId="2" applyNumberFormat="1" applyFont="1" applyFill="1" applyBorder="1" applyAlignment="1">
      <alignment horizontal="center" vertical="center"/>
    </xf>
    <xf numFmtId="0" fontId="64" fillId="4" borderId="1" xfId="2" applyNumberFormat="1" applyFont="1" applyFill="1" applyBorder="1" applyAlignment="1">
      <alignment horizontal="center"/>
    </xf>
    <xf numFmtId="0" fontId="64" fillId="4" borderId="3" xfId="2" applyNumberFormat="1" applyFont="1" applyFill="1" applyBorder="1" applyAlignment="1">
      <alignment horizontal="center"/>
    </xf>
    <xf numFmtId="0" fontId="61" fillId="9" borderId="3" xfId="2" applyFont="1" applyFill="1" applyBorder="1" applyAlignment="1">
      <alignment vertical="top" wrapText="1"/>
    </xf>
    <xf numFmtId="0" fontId="63" fillId="9" borderId="1" xfId="2" applyFont="1" applyFill="1" applyBorder="1" applyAlignment="1">
      <alignment horizontal="center"/>
    </xf>
    <xf numFmtId="0" fontId="61" fillId="9" borderId="3" xfId="2" applyFont="1" applyFill="1" applyBorder="1" applyAlignment="1">
      <alignment horizontal="center"/>
    </xf>
    <xf numFmtId="49" fontId="63" fillId="9" borderId="3" xfId="2" applyNumberFormat="1" applyFont="1" applyFill="1" applyBorder="1" applyAlignment="1">
      <alignment horizontal="center"/>
    </xf>
    <xf numFmtId="0" fontId="64" fillId="9" borderId="3" xfId="2" applyNumberFormat="1" applyFont="1" applyFill="1" applyBorder="1" applyAlignment="1">
      <alignment horizontal="center" vertical="center"/>
    </xf>
    <xf numFmtId="0" fontId="64" fillId="9" borderId="3" xfId="2" applyNumberFormat="1" applyFont="1" applyFill="1" applyBorder="1" applyAlignment="1">
      <alignment horizontal="center"/>
    </xf>
    <xf numFmtId="49" fontId="61" fillId="0" borderId="3" xfId="2" applyNumberFormat="1" applyFont="1" applyFill="1" applyBorder="1" applyAlignment="1">
      <alignment horizontal="center" vertical="center"/>
    </xf>
    <xf numFmtId="0" fontId="62" fillId="0" borderId="3" xfId="2" applyNumberFormat="1" applyFont="1" applyFill="1" applyBorder="1" applyAlignment="1">
      <alignment horizontal="left" vertical="center" wrapText="1"/>
    </xf>
    <xf numFmtId="3" fontId="65" fillId="0" borderId="25" xfId="2" applyNumberFormat="1" applyFont="1" applyFill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3" fontId="72" fillId="0" borderId="26" xfId="2" applyNumberFormat="1" applyFont="1" applyFill="1" applyBorder="1" applyAlignment="1">
      <alignment horizontal="center" vertical="center"/>
    </xf>
    <xf numFmtId="3" fontId="72" fillId="0" borderId="12" xfId="2" applyNumberFormat="1" applyFont="1" applyFill="1" applyBorder="1" applyAlignment="1">
      <alignment horizontal="center" vertical="center"/>
    </xf>
    <xf numFmtId="49" fontId="62" fillId="2" borderId="4" xfId="2" applyNumberFormat="1" applyFont="1" applyFill="1" applyBorder="1" applyAlignment="1">
      <alignment horizontal="center" vertical="center" wrapText="1"/>
    </xf>
    <xf numFmtId="49" fontId="62" fillId="2" borderId="2" xfId="2" applyNumberFormat="1" applyFont="1" applyFill="1" applyBorder="1" applyAlignment="1">
      <alignment horizontal="center" vertical="center" wrapText="1"/>
    </xf>
    <xf numFmtId="165" fontId="63" fillId="6" borderId="4" xfId="2" applyNumberFormat="1" applyFont="1" applyFill="1" applyBorder="1" applyAlignment="1">
      <alignment horizontal="center" vertical="center"/>
    </xf>
    <xf numFmtId="0" fontId="64" fillId="0" borderId="2" xfId="0" applyFont="1" applyBorder="1" applyAlignment="1">
      <alignment horizontal="center" vertical="center"/>
    </xf>
    <xf numFmtId="0" fontId="64" fillId="0" borderId="2" xfId="0" applyFont="1" applyBorder="1" applyAlignment="1">
      <alignment horizontal="center" vertical="center" wrapText="1"/>
    </xf>
    <xf numFmtId="0" fontId="67" fillId="2" borderId="4" xfId="2" applyNumberFormat="1" applyFont="1" applyFill="1" applyBorder="1" applyAlignment="1">
      <alignment horizontal="center" vertical="center"/>
    </xf>
    <xf numFmtId="0" fontId="68" fillId="2" borderId="26" xfId="2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11" fillId="2" borderId="0" xfId="2" applyFont="1" applyFill="1" applyBorder="1" applyAlignment="1">
      <alignment horizontal="center" wrapText="1" shrinkToFit="1"/>
    </xf>
    <xf numFmtId="0" fontId="43" fillId="2" borderId="0" xfId="2" applyFont="1" applyFill="1" applyAlignment="1">
      <alignment horizontal="left" vertical="center" wrapText="1"/>
    </xf>
    <xf numFmtId="3" fontId="27" fillId="0" borderId="13" xfId="2" applyNumberFormat="1" applyFont="1" applyFill="1" applyBorder="1" applyAlignment="1">
      <alignment horizontal="center" vertical="center" wrapText="1"/>
    </xf>
    <xf numFmtId="3" fontId="27" fillId="0" borderId="17" xfId="2" applyNumberFormat="1" applyFont="1" applyFill="1" applyBorder="1" applyAlignment="1">
      <alignment horizontal="center" vertical="center" wrapText="1"/>
    </xf>
    <xf numFmtId="0" fontId="67" fillId="2" borderId="2" xfId="2" applyNumberFormat="1" applyFont="1" applyFill="1" applyBorder="1" applyAlignment="1">
      <alignment horizontal="center" vertical="center"/>
    </xf>
    <xf numFmtId="0" fontId="68" fillId="2" borderId="12" xfId="2" applyNumberFormat="1" applyFont="1" applyFill="1" applyBorder="1" applyAlignment="1">
      <alignment horizontal="center" vertical="center"/>
    </xf>
    <xf numFmtId="0" fontId="61" fillId="2" borderId="4" xfId="2" applyFont="1" applyFill="1" applyBorder="1" applyAlignment="1">
      <alignment horizontal="center" vertical="center" wrapText="1"/>
    </xf>
    <xf numFmtId="0" fontId="61" fillId="2" borderId="2" xfId="2" applyFont="1" applyFill="1" applyBorder="1" applyAlignment="1">
      <alignment horizontal="center" vertical="center" wrapText="1"/>
    </xf>
    <xf numFmtId="0" fontId="64" fillId="2" borderId="4" xfId="2" applyFont="1" applyFill="1" applyBorder="1" applyAlignment="1">
      <alignment horizontal="left" vertical="center" wrapText="1"/>
    </xf>
    <xf numFmtId="0" fontId="64" fillId="2" borderId="2" xfId="2" applyFont="1" applyFill="1" applyBorder="1" applyAlignment="1">
      <alignment horizontal="left" vertical="center" wrapText="1"/>
    </xf>
    <xf numFmtId="0" fontId="64" fillId="2" borderId="4" xfId="2" applyFont="1" applyFill="1" applyBorder="1" applyAlignment="1">
      <alignment horizontal="center" vertical="center" wrapText="1"/>
    </xf>
    <xf numFmtId="0" fontId="64" fillId="2" borderId="2" xfId="2" applyFont="1" applyFill="1" applyBorder="1" applyAlignment="1">
      <alignment horizontal="center" vertical="center" wrapText="1"/>
    </xf>
    <xf numFmtId="165" fontId="63" fillId="6" borderId="2" xfId="2" applyNumberFormat="1" applyFont="1" applyFill="1" applyBorder="1" applyAlignment="1">
      <alignment horizontal="center" vertical="center"/>
    </xf>
    <xf numFmtId="0" fontId="64" fillId="0" borderId="2" xfId="0" applyFont="1" applyBorder="1" applyAlignment="1">
      <alignment horizontal="left" vertical="center" wrapText="1"/>
    </xf>
    <xf numFmtId="0" fontId="12" fillId="2" borderId="4" xfId="2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left" vertical="center" wrapText="1"/>
    </xf>
    <xf numFmtId="0" fontId="12" fillId="0" borderId="4" xfId="2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9" fillId="0" borderId="8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21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top" wrapText="1"/>
    </xf>
    <xf numFmtId="0" fontId="6" fillId="2" borderId="2" xfId="2" applyFont="1" applyFill="1" applyBorder="1" applyAlignment="1">
      <alignment horizontal="center" vertical="top" wrapText="1"/>
    </xf>
    <xf numFmtId="0" fontId="41" fillId="2" borderId="0" xfId="2" applyFont="1" applyFill="1" applyAlignment="1">
      <alignment horizontal="left" vertical="top" wrapText="1"/>
    </xf>
    <xf numFmtId="0" fontId="41" fillId="2" borderId="0" xfId="2" applyFont="1" applyFill="1" applyAlignment="1">
      <alignment horizontal="left" vertical="top"/>
    </xf>
    <xf numFmtId="0" fontId="12" fillId="0" borderId="2" xfId="2" applyFont="1" applyFill="1" applyBorder="1" applyAlignment="1">
      <alignment horizontal="left" vertical="center" wrapText="1"/>
    </xf>
    <xf numFmtId="0" fontId="9" fillId="0" borderId="21" xfId="2" applyFont="1" applyBorder="1" applyAlignment="1">
      <alignment horizontal="center"/>
    </xf>
    <xf numFmtId="0" fontId="9" fillId="0" borderId="20" xfId="2" applyFont="1" applyBorder="1" applyAlignment="1">
      <alignment horizontal="center"/>
    </xf>
    <xf numFmtId="0" fontId="11" fillId="0" borderId="0" xfId="2" applyFont="1" applyBorder="1" applyAlignment="1">
      <alignment horizontal="center" wrapText="1" shrinkToFit="1"/>
    </xf>
    <xf numFmtId="0" fontId="12" fillId="0" borderId="4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left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3" fontId="22" fillId="0" borderId="13" xfId="2" applyNumberFormat="1" applyFont="1" applyFill="1" applyBorder="1" applyAlignment="1">
      <alignment horizontal="center" vertical="center" wrapText="1"/>
    </xf>
    <xf numFmtId="3" fontId="22" fillId="0" borderId="17" xfId="2" applyNumberFormat="1" applyFont="1" applyFill="1" applyBorder="1" applyAlignment="1">
      <alignment horizontal="center" vertical="center" wrapText="1"/>
    </xf>
    <xf numFmtId="3" fontId="11" fillId="0" borderId="13" xfId="2" applyNumberFormat="1" applyFont="1" applyFill="1" applyBorder="1" applyAlignment="1">
      <alignment horizontal="center" vertical="center" wrapText="1"/>
    </xf>
    <xf numFmtId="3" fontId="11" fillId="0" borderId="17" xfId="2" applyNumberFormat="1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wrapText="1" shrinkToFit="1"/>
    </xf>
    <xf numFmtId="0" fontId="11" fillId="0" borderId="4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11" fillId="0" borderId="13" xfId="2" applyNumberFormat="1" applyFont="1" applyFill="1" applyBorder="1" applyAlignment="1">
      <alignment horizontal="center" vertical="center" wrapText="1"/>
    </xf>
    <xf numFmtId="2" fontId="11" fillId="0" borderId="17" xfId="2" applyNumberFormat="1" applyFont="1" applyFill="1" applyBorder="1" applyAlignment="1">
      <alignment horizontal="center" vertical="center" wrapText="1"/>
    </xf>
    <xf numFmtId="0" fontId="41" fillId="2" borderId="0" xfId="2" applyFont="1" applyFill="1" applyBorder="1" applyAlignment="1">
      <alignment horizontal="left" vertical="top" wrapText="1"/>
    </xf>
    <xf numFmtId="3" fontId="80" fillId="9" borderId="18" xfId="2" applyNumberFormat="1" applyFont="1" applyFill="1" applyBorder="1" applyAlignment="1">
      <alignment horizontal="center" vertical="center"/>
    </xf>
    <xf numFmtId="3" fontId="80" fillId="9" borderId="25" xfId="2" applyNumberFormat="1" applyFont="1" applyFill="1" applyBorder="1" applyAlignment="1">
      <alignment horizontal="center" vertical="center"/>
    </xf>
    <xf numFmtId="0" fontId="83" fillId="9" borderId="15" xfId="0" applyFont="1" applyFill="1" applyBorder="1" applyAlignment="1">
      <alignment horizontal="center" vertical="center"/>
    </xf>
    <xf numFmtId="0" fontId="83" fillId="9" borderId="3" xfId="2" applyNumberFormat="1" applyFont="1" applyFill="1" applyBorder="1" applyAlignment="1">
      <alignment horizontal="center"/>
    </xf>
    <xf numFmtId="3" fontId="80" fillId="9" borderId="18" xfId="2" applyNumberFormat="1" applyFont="1" applyFill="1" applyBorder="1" applyAlignment="1">
      <alignment horizontal="center" vertical="center" wrapText="1"/>
    </xf>
    <xf numFmtId="3" fontId="80" fillId="9" borderId="25" xfId="2" applyNumberFormat="1" applyFont="1" applyFill="1" applyBorder="1" applyAlignment="1">
      <alignment horizontal="center" vertical="center"/>
    </xf>
    <xf numFmtId="3" fontId="84" fillId="9" borderId="18" xfId="2" applyNumberFormat="1" applyFont="1" applyFill="1" applyBorder="1" applyAlignment="1">
      <alignment horizontal="center" vertical="center" wrapText="1"/>
    </xf>
    <xf numFmtId="3" fontId="80" fillId="9" borderId="29" xfId="2" applyNumberFormat="1" applyFont="1" applyFill="1" applyBorder="1" applyAlignment="1">
      <alignment horizontal="center" vertical="center"/>
    </xf>
    <xf numFmtId="3" fontId="80" fillId="9" borderId="30" xfId="2" applyNumberFormat="1" applyFont="1" applyFill="1" applyBorder="1" applyAlignment="1">
      <alignment horizontal="center" vertical="center"/>
    </xf>
    <xf numFmtId="3" fontId="81" fillId="9" borderId="18" xfId="2" applyNumberFormat="1" applyFont="1" applyFill="1" applyBorder="1" applyAlignment="1">
      <alignment horizontal="center" vertical="center"/>
    </xf>
    <xf numFmtId="0" fontId="82" fillId="9" borderId="0" xfId="2" applyFont="1" applyFill="1" applyBorder="1" applyAlignment="1">
      <alignment horizontal="center" vertical="center"/>
    </xf>
    <xf numFmtId="0" fontId="82" fillId="9" borderId="0" xfId="2" applyFont="1" applyFill="1" applyAlignment="1">
      <alignment horizontal="center"/>
    </xf>
    <xf numFmtId="0" fontId="82" fillId="9" borderId="0" xfId="2" applyFont="1" applyFill="1" applyAlignment="1"/>
    <xf numFmtId="0" fontId="85" fillId="9" borderId="0" xfId="2" applyFont="1" applyFill="1" applyAlignment="1"/>
  </cellXfs>
  <cellStyles count="4">
    <cellStyle name="Гиперссылка" xfId="3" builtinId="8"/>
    <cellStyle name="Обычный" xfId="0" builtinId="0"/>
    <cellStyle name="Обычный_Копия Прайс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http://img.autorambler.ru/img/catv2/240x180/d93acf81d05f27d8ab6e2339268888f9.jpeg" TargetMode="External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http://img.autorambler.ru/img/catv2/240x180/d93acf81d05f27d8ab6e2339268888f9.jpeg" TargetMode="External"/><Relationship Id="rId2" Type="http://schemas.openxmlformats.org/officeDocument/2006/relationships/image" Target="../media/image7.jpeg"/><Relationship Id="rId1" Type="http://schemas.openxmlformats.org/officeDocument/2006/relationships/image" Target="../media/image6.png"/><Relationship Id="rId6" Type="http://schemas.openxmlformats.org/officeDocument/2006/relationships/image" Target="../media/image10.jpe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3.emf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http://img.autorambler.ru/img/catv2/240x180/d93acf81d05f27d8ab6e2339268888f9.jpeg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0</xdr:rowOff>
    </xdr:from>
    <xdr:to>
      <xdr:col>3</xdr:col>
      <xdr:colOff>1209675</xdr:colOff>
      <xdr:row>0</xdr:row>
      <xdr:rowOff>0</xdr:rowOff>
    </xdr:to>
    <xdr:sp macro="" textlink="">
      <xdr:nvSpPr>
        <xdr:cNvPr id="20481" name="Текст 1"/>
        <xdr:cNvSpPr txBox="1">
          <a:spLocks noChangeArrowheads="1"/>
        </xdr:cNvSpPr>
      </xdr:nvSpPr>
      <xdr:spPr bwMode="auto">
        <a:xfrm>
          <a:off x="2190750" y="0"/>
          <a:ext cx="676275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20482" name="Текст 2"/>
        <xdr:cNvSpPr txBox="1">
          <a:spLocks noChangeArrowheads="1"/>
        </xdr:cNvSpPr>
      </xdr:nvSpPr>
      <xdr:spPr bwMode="auto">
        <a:xfrm>
          <a:off x="152400" y="0"/>
          <a:ext cx="203835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3</xdr:col>
      <xdr:colOff>1733550</xdr:colOff>
      <xdr:row>49</xdr:row>
      <xdr:rowOff>0</xdr:rowOff>
    </xdr:from>
    <xdr:to>
      <xdr:col>3</xdr:col>
      <xdr:colOff>2247900</xdr:colOff>
      <xdr:row>49</xdr:row>
      <xdr:rowOff>0</xdr:rowOff>
    </xdr:to>
    <xdr:sp macro="" textlink="">
      <xdr:nvSpPr>
        <xdr:cNvPr id="155662" name="Rectangle 48"/>
        <xdr:cNvSpPr>
          <a:spLocks noChangeArrowheads="1"/>
        </xdr:cNvSpPr>
      </xdr:nvSpPr>
      <xdr:spPr bwMode="auto">
        <a:xfrm>
          <a:off x="3343275" y="13277850"/>
          <a:ext cx="5143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</xdr:colOff>
      <xdr:row>526</xdr:row>
      <xdr:rowOff>31750</xdr:rowOff>
    </xdr:from>
    <xdr:to>
      <xdr:col>7</xdr:col>
      <xdr:colOff>828676</xdr:colOff>
      <xdr:row>561</xdr:row>
      <xdr:rowOff>190499</xdr:rowOff>
    </xdr:to>
    <xdr:sp macro="" textlink="">
      <xdr:nvSpPr>
        <xdr:cNvPr id="20712" name="Text Box 232"/>
        <xdr:cNvSpPr txBox="1">
          <a:spLocks noChangeArrowheads="1"/>
        </xdr:cNvSpPr>
      </xdr:nvSpPr>
      <xdr:spPr bwMode="auto">
        <a:xfrm>
          <a:off x="111126" y="177847625"/>
          <a:ext cx="10179050" cy="73818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Дилерам предусмотрена система скидок по цене ТСУ.</a:t>
          </a:r>
        </a:p>
        <a:p>
          <a:pPr rtl="0"/>
          <a:r>
            <a:rPr lang="ru-RU" sz="1200" b="0" i="0" baseline="0">
              <a:latin typeface="Arial" pitchFamily="34" charset="0"/>
              <a:ea typeface="+mn-ea"/>
              <a:cs typeface="Arial" pitchFamily="34" charset="0"/>
            </a:rPr>
            <a:t>Диаметр сцепного шара составляет 50 мм. (в соответствии с </a:t>
          </a:r>
          <a:r>
            <a:rPr lang="ru-RU" sz="1200">
              <a:latin typeface="Arial" pitchFamily="34" charset="0"/>
              <a:ea typeface="+mn-ea"/>
              <a:cs typeface="Arial" pitchFamily="34" charset="0"/>
            </a:rPr>
            <a:t>ГОСТ Р 41.55-2005</a:t>
          </a:r>
          <a:r>
            <a:rPr lang="ru-RU" sz="1200" b="0" i="0" baseline="0">
              <a:latin typeface="Arial" pitchFamily="34" charset="0"/>
              <a:ea typeface="+mn-ea"/>
              <a:cs typeface="Arial" pitchFamily="34" charset="0"/>
            </a:rPr>
            <a:t>)</a:t>
          </a:r>
          <a:endParaRPr lang="en-US" sz="1200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Подходимость ТСУ гарантируется  только для автомобилей прошедших сертификацию в Российской Федерации																					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Пояснения:</a:t>
          </a:r>
          <a:b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ru-RU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ТСУ и аксессуары имеющие формат артикулов: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«1234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-A</a:t>
          </a: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», </a:t>
          </a:r>
          <a:r>
            <a:rPr lang="ru-RU" sz="10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ru-RU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«Баф-0000»</a:t>
          </a:r>
          <a:r>
            <a:rPr lang="ru-RU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производятся на заводе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Bosal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в России (Оренбургская область, п. Новоорск)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«123-456»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производятся на заводе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Bosal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в Венгрии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А »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съемный на двух болтах шар, грузоподъемность 1500 кг.                                                           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 шар, грузоподъемность 1500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Е »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съемный, на гайке, грузоподъемностью 1500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съемный, кованый шар с 2 отверстиями,  грузоподъемность 3500 кг.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съемный, кованный шар с 4 отверстиями  грузоподъемность 3500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универсальный, с 4 отверстиями  грузоподъемностью 3500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 шар на двух болтах, грузоподъумность 2000 кг.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AK41 »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вертикальная быстросъемная система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ORIS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  <a:endParaRPr lang="en-US" sz="12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AK</a:t>
          </a:r>
          <a:r>
            <a:rPr lang="ru-RU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»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вертикальная быстросъемная система.</a:t>
          </a:r>
          <a:endParaRPr lang="en-US" sz="12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HB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хетчбек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mini truck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минигрузовик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minivan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минивэн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minibus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микроавтобус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pick-up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пикап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sedan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седан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truck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грузовик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van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фургон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wagon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универсал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4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x4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внедорожник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Продукция сертифицирована. По техническим вопросам обращаться по тел.: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(35363) 7-05-06, 7-05-07, 7-05-08, факс 7-13-20,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тел.\ факс (495) 799-13-46</a:t>
          </a: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Оставляем за собой право изменять цены и спецификации на продукцию.</a:t>
          </a:r>
        </a:p>
      </xdr:txBody>
    </xdr:sp>
    <xdr:clientData/>
  </xdr:twoCellAnchor>
  <xdr:twoCellAnchor>
    <xdr:from>
      <xdr:col>2</xdr:col>
      <xdr:colOff>1438275</xdr:colOff>
      <xdr:row>72</xdr:row>
      <xdr:rowOff>0</xdr:rowOff>
    </xdr:from>
    <xdr:to>
      <xdr:col>2</xdr:col>
      <xdr:colOff>1971675</xdr:colOff>
      <xdr:row>74</xdr:row>
      <xdr:rowOff>0</xdr:rowOff>
    </xdr:to>
    <xdr:sp macro="" textlink="">
      <xdr:nvSpPr>
        <xdr:cNvPr id="155665" name="Rectangle 236"/>
        <xdr:cNvSpPr>
          <a:spLocks noChangeArrowheads="1"/>
        </xdr:cNvSpPr>
      </xdr:nvSpPr>
      <xdr:spPr bwMode="auto">
        <a:xfrm>
          <a:off x="1609725" y="18497550"/>
          <a:ext cx="0" cy="7524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323850</xdr:colOff>
      <xdr:row>3</xdr:row>
      <xdr:rowOff>107950</xdr:rowOff>
    </xdr:from>
    <xdr:to>
      <xdr:col>2</xdr:col>
      <xdr:colOff>609600</xdr:colOff>
      <xdr:row>3</xdr:row>
      <xdr:rowOff>422275</xdr:rowOff>
    </xdr:to>
    <xdr:pic>
      <xdr:nvPicPr>
        <xdr:cNvPr id="155666" name="Picture 2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475" y="1504950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203200</xdr:colOff>
      <xdr:row>3</xdr:row>
      <xdr:rowOff>161925</xdr:rowOff>
    </xdr:from>
    <xdr:to>
      <xdr:col>6</xdr:col>
      <xdr:colOff>584200</xdr:colOff>
      <xdr:row>3</xdr:row>
      <xdr:rowOff>390525</xdr:rowOff>
    </xdr:to>
    <xdr:pic>
      <xdr:nvPicPr>
        <xdr:cNvPr id="155667" name="Picture 2025" descr="PICTO-B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62900" y="2193925"/>
          <a:ext cx="381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371475</xdr:colOff>
      <xdr:row>3</xdr:row>
      <xdr:rowOff>104775</xdr:rowOff>
    </xdr:from>
    <xdr:to>
      <xdr:col>8</xdr:col>
      <xdr:colOff>723900</xdr:colOff>
      <xdr:row>3</xdr:row>
      <xdr:rowOff>466725</xdr:rowOff>
    </xdr:to>
    <xdr:pic>
      <xdr:nvPicPr>
        <xdr:cNvPr id="155668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74155" t="5443" r="19466" b="90044"/>
        <a:stretch>
          <a:fillRect/>
        </a:stretch>
      </xdr:blipFill>
      <xdr:spPr bwMode="auto">
        <a:xfrm>
          <a:off x="9839325" y="1933575"/>
          <a:ext cx="352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3</xdr:row>
      <xdr:rowOff>85725</xdr:rowOff>
    </xdr:from>
    <xdr:to>
      <xdr:col>9</xdr:col>
      <xdr:colOff>752475</xdr:colOff>
      <xdr:row>3</xdr:row>
      <xdr:rowOff>381000</xdr:rowOff>
    </xdr:to>
    <xdr:sp macro="" textlink="">
      <xdr:nvSpPr>
        <xdr:cNvPr id="155671" name="AutoShape 260"/>
        <xdr:cNvSpPr>
          <a:spLocks noChangeArrowheads="1"/>
        </xdr:cNvSpPr>
      </xdr:nvSpPr>
      <xdr:spPr bwMode="auto">
        <a:xfrm>
          <a:off x="11020425" y="1914525"/>
          <a:ext cx="285750" cy="295275"/>
        </a:xfrm>
        <a:prstGeom prst="lightningBol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1438275</xdr:colOff>
      <xdr:row>504</xdr:row>
      <xdr:rowOff>0</xdr:rowOff>
    </xdr:from>
    <xdr:to>
      <xdr:col>2</xdr:col>
      <xdr:colOff>1971675</xdr:colOff>
      <xdr:row>506</xdr:row>
      <xdr:rowOff>0</xdr:rowOff>
    </xdr:to>
    <xdr:sp macro="" textlink="">
      <xdr:nvSpPr>
        <xdr:cNvPr id="16" name="Rectangle 236"/>
        <xdr:cNvSpPr>
          <a:spLocks noChangeArrowheads="1"/>
        </xdr:cNvSpPr>
      </xdr:nvSpPr>
      <xdr:spPr bwMode="auto">
        <a:xfrm>
          <a:off x="1758950" y="29051250"/>
          <a:ext cx="0" cy="7937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123824</xdr:colOff>
      <xdr:row>0</xdr:row>
      <xdr:rowOff>158750</xdr:rowOff>
    </xdr:from>
    <xdr:to>
      <xdr:col>9</xdr:col>
      <xdr:colOff>782084</xdr:colOff>
      <xdr:row>1</xdr:row>
      <xdr:rowOff>381000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68" t="17186" r="1317" b="4744"/>
        <a:stretch>
          <a:fillRect/>
        </a:stretch>
      </xdr:blipFill>
      <xdr:spPr bwMode="auto">
        <a:xfrm>
          <a:off x="7569199" y="158750"/>
          <a:ext cx="3626885" cy="777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47625</xdr:colOff>
      <xdr:row>3</xdr:row>
      <xdr:rowOff>79376</xdr:rowOff>
    </xdr:from>
    <xdr:to>
      <xdr:col>1</xdr:col>
      <xdr:colOff>862539</xdr:colOff>
      <xdr:row>3</xdr:row>
      <xdr:rowOff>428626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68" t="17186" r="1317" b="4744"/>
        <a:stretch>
          <a:fillRect/>
        </a:stretch>
      </xdr:blipFill>
      <xdr:spPr bwMode="auto">
        <a:xfrm>
          <a:off x="158750" y="1476376"/>
          <a:ext cx="814914" cy="349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2686051</xdr:colOff>
      <xdr:row>4</xdr:row>
      <xdr:rowOff>63500</xdr:rowOff>
    </xdr:from>
    <xdr:to>
      <xdr:col>4</xdr:col>
      <xdr:colOff>3175</xdr:colOff>
      <xdr:row>5</xdr:row>
      <xdr:rowOff>25461</xdr:rowOff>
    </xdr:to>
    <xdr:pic>
      <xdr:nvPicPr>
        <xdr:cNvPr id="15" name="Picture 256" descr="Chevrolet TrailBlazer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/>
        <a:srcRect/>
        <a:stretch>
          <a:fillRect/>
        </a:stretch>
      </xdr:blipFill>
      <xdr:spPr bwMode="auto">
        <a:xfrm>
          <a:off x="4591051" y="1984375"/>
          <a:ext cx="634999" cy="723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0</xdr:rowOff>
    </xdr:from>
    <xdr:to>
      <xdr:col>3</xdr:col>
      <xdr:colOff>1209675</xdr:colOff>
      <xdr:row>0</xdr:row>
      <xdr:rowOff>0</xdr:rowOff>
    </xdr:to>
    <xdr:sp macro="" textlink="">
      <xdr:nvSpPr>
        <xdr:cNvPr id="26625" name="Текст 1"/>
        <xdr:cNvSpPr txBox="1">
          <a:spLocks noChangeArrowheads="1"/>
        </xdr:cNvSpPr>
      </xdr:nvSpPr>
      <xdr:spPr bwMode="auto">
        <a:xfrm>
          <a:off x="2247900" y="0"/>
          <a:ext cx="676275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28574</xdr:colOff>
      <xdr:row>59</xdr:row>
      <xdr:rowOff>79375</xdr:rowOff>
    </xdr:from>
    <xdr:to>
      <xdr:col>11</xdr:col>
      <xdr:colOff>1416843</xdr:colOff>
      <xdr:row>87</xdr:row>
      <xdr:rowOff>41275</xdr:rowOff>
    </xdr:to>
    <xdr:sp macro="" textlink="">
      <xdr:nvSpPr>
        <xdr:cNvPr id="26648" name="Text Box 24"/>
        <xdr:cNvSpPr txBox="1">
          <a:spLocks noChangeArrowheads="1"/>
        </xdr:cNvSpPr>
      </xdr:nvSpPr>
      <xdr:spPr bwMode="auto">
        <a:xfrm>
          <a:off x="88105" y="17522031"/>
          <a:ext cx="12163426" cy="583168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Дилерам предусмотрена система скидок по цене ТСУ.</a:t>
          </a:r>
        </a:p>
        <a:p>
          <a:pPr rtl="0"/>
          <a:r>
            <a:rPr lang="ru-RU" sz="1200" b="0" i="0" baseline="0">
              <a:latin typeface="Arial" pitchFamily="34" charset="0"/>
              <a:ea typeface="+mn-ea"/>
              <a:cs typeface="Arial" pitchFamily="34" charset="0"/>
            </a:rPr>
            <a:t>Диаметр сцепного шара составляет 50 мм. (в соответствии с </a:t>
          </a:r>
          <a:r>
            <a:rPr lang="ru-RU" sz="1200">
              <a:latin typeface="Arial" pitchFamily="34" charset="0"/>
              <a:ea typeface="+mn-ea"/>
              <a:cs typeface="Arial" pitchFamily="34" charset="0"/>
            </a:rPr>
            <a:t>ГОСТ Р 41.55-2005</a:t>
          </a:r>
          <a:r>
            <a:rPr lang="ru-RU" sz="1200" b="0" i="0" baseline="0">
              <a:latin typeface="Arial" pitchFamily="34" charset="0"/>
              <a:ea typeface="+mn-ea"/>
              <a:cs typeface="Arial" pitchFamily="34" charset="0"/>
            </a:rPr>
            <a:t>)</a:t>
          </a:r>
          <a:endParaRPr lang="en-US" sz="1200"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ТСУ  имеющие формат артикулов:</a:t>
          </a:r>
          <a:r>
            <a:rPr lang="ru-RU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ru-RU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ru-RU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«</a:t>
          </a:r>
          <a:r>
            <a:rPr lang="en-US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1234-A</a:t>
          </a:r>
          <a:r>
            <a:rPr lang="ru-RU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» </a:t>
          </a:r>
          <a:r>
            <a:rPr lang="ru-RU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производятся на заводе </a:t>
          </a:r>
          <a:r>
            <a:rPr lang="en-US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Bosal </a:t>
          </a:r>
          <a:r>
            <a:rPr lang="ru-RU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в России (Оренбургская область, п. Новоорск)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/>
          </a:r>
          <a:br>
            <a:rPr lang="en-US" sz="1000" b="0" i="0" baseline="0">
              <a:effectLst/>
              <a:latin typeface="+mn-lt"/>
              <a:ea typeface="+mn-ea"/>
              <a:cs typeface="+mn-cs"/>
            </a:rPr>
          </a:b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 на двух болтах шар, грузоподъемность 1500 кг.                                                           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съемный, на гайке, грузоподъемностью 1200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съемный, кованый шар с 2 отверстиями,  грузоподъемность 3500 кг.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сварной шар, грузоподъемность 1500 кг.   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 шар на двух болтах, грузоподъумность 2000 кг.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</a:t>
          </a:r>
          <a:r>
            <a:rPr lang="ru-RU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» –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купе</a:t>
          </a: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</a:t>
          </a:r>
          <a:r>
            <a:rPr lang="ru-RU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HB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»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хетчбек</a:t>
          </a: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</a:t>
          </a:r>
          <a:r>
            <a:rPr lang="ru-RU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mini truck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» –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минигрузовик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minivan » –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минивэн</a:t>
          </a:r>
          <a:endParaRPr lang="ru-RU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minibus » –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микроавтобус</a:t>
          </a:r>
          <a:endParaRPr lang="ru-RU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pick-up » –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пикап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sedan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седан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truck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грузовик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van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фургон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wagon »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универсал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4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x4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внедорожник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Продукция сертифицирована. По техническим вопросам обращаться по тел.: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(35363) 7-05-06, факс 7-13-20,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тел.\ факс (495) 799-13-46</a:t>
          </a:r>
        </a:p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*Оставляем за собой право изменять цены и спецификации на продукцию.</a:t>
          </a:r>
        </a:p>
      </xdr:txBody>
    </xdr:sp>
    <xdr:clientData/>
  </xdr:twoCellAnchor>
  <xdr:twoCellAnchor>
    <xdr:from>
      <xdr:col>2</xdr:col>
      <xdr:colOff>152400</xdr:colOff>
      <xdr:row>3</xdr:row>
      <xdr:rowOff>85725</xdr:rowOff>
    </xdr:from>
    <xdr:to>
      <xdr:col>2</xdr:col>
      <xdr:colOff>638175</xdr:colOff>
      <xdr:row>3</xdr:row>
      <xdr:rowOff>409575</xdr:rowOff>
    </xdr:to>
    <xdr:pic>
      <xdr:nvPicPr>
        <xdr:cNvPr id="156685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1885950"/>
          <a:ext cx="4857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244929</xdr:colOff>
      <xdr:row>3</xdr:row>
      <xdr:rowOff>88446</xdr:rowOff>
    </xdr:from>
    <xdr:to>
      <xdr:col>7</xdr:col>
      <xdr:colOff>702129</xdr:colOff>
      <xdr:row>3</xdr:row>
      <xdr:rowOff>364671</xdr:rowOff>
    </xdr:to>
    <xdr:pic>
      <xdr:nvPicPr>
        <xdr:cNvPr id="156687" name="Picture 2025" descr="PICTO-B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35143" y="1394732"/>
          <a:ext cx="457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</xdr:row>
      <xdr:rowOff>28575</xdr:rowOff>
    </xdr:from>
    <xdr:to>
      <xdr:col>8</xdr:col>
      <xdr:colOff>819150</xdr:colOff>
      <xdr:row>4</xdr:row>
      <xdr:rowOff>57150</xdr:rowOff>
    </xdr:to>
    <xdr:pic>
      <xdr:nvPicPr>
        <xdr:cNvPr id="156688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74155" t="5443" r="19466" b="90044"/>
        <a:stretch>
          <a:fillRect/>
        </a:stretch>
      </xdr:blipFill>
      <xdr:spPr bwMode="auto">
        <a:xfrm>
          <a:off x="9439275" y="1828800"/>
          <a:ext cx="6096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9</xdr:col>
      <xdr:colOff>606649</xdr:colOff>
      <xdr:row>1</xdr:row>
      <xdr:rowOff>780356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844393" y="204107"/>
          <a:ext cx="3627434" cy="78035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68036</xdr:colOff>
      <xdr:row>3</xdr:row>
      <xdr:rowOff>68036</xdr:rowOff>
    </xdr:from>
    <xdr:to>
      <xdr:col>1</xdr:col>
      <xdr:colOff>799619</xdr:colOff>
      <xdr:row>3</xdr:row>
      <xdr:rowOff>378959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2465" y="1374322"/>
          <a:ext cx="731583" cy="310923"/>
        </a:xfrm>
        <a:prstGeom prst="rect">
          <a:avLst/>
        </a:prstGeom>
      </xdr:spPr>
    </xdr:pic>
    <xdr:clientData/>
  </xdr:twoCellAnchor>
  <xdr:twoCellAnchor>
    <xdr:from>
      <xdr:col>3</xdr:col>
      <xdr:colOff>3141550</xdr:colOff>
      <xdr:row>3</xdr:row>
      <xdr:rowOff>337457</xdr:rowOff>
    </xdr:from>
    <xdr:to>
      <xdr:col>3</xdr:col>
      <xdr:colOff>4091669</xdr:colOff>
      <xdr:row>5</xdr:row>
      <xdr:rowOff>21206</xdr:rowOff>
    </xdr:to>
    <xdr:pic>
      <xdr:nvPicPr>
        <xdr:cNvPr id="10" name="Picture 50" descr="Chevrolet TrailBlazer"/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/>
        <a:srcRect/>
        <a:stretch>
          <a:fillRect/>
        </a:stretch>
      </xdr:blipFill>
      <xdr:spPr bwMode="auto">
        <a:xfrm>
          <a:off x="4774407" y="1643743"/>
          <a:ext cx="950119" cy="853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3</xdr:row>
      <xdr:rowOff>85725</xdr:rowOff>
    </xdr:from>
    <xdr:to>
      <xdr:col>9</xdr:col>
      <xdr:colOff>752475</xdr:colOff>
      <xdr:row>3</xdr:row>
      <xdr:rowOff>381000</xdr:rowOff>
    </xdr:to>
    <xdr:sp macro="" textlink="">
      <xdr:nvSpPr>
        <xdr:cNvPr id="12" name="AutoShape 260"/>
        <xdr:cNvSpPr>
          <a:spLocks noChangeArrowheads="1"/>
        </xdr:cNvSpPr>
      </xdr:nvSpPr>
      <xdr:spPr bwMode="auto">
        <a:xfrm>
          <a:off x="12106275" y="1485900"/>
          <a:ext cx="285750" cy="295275"/>
        </a:xfrm>
        <a:prstGeom prst="lightningBol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3</xdr:row>
      <xdr:rowOff>107950</xdr:rowOff>
    </xdr:from>
    <xdr:to>
      <xdr:col>2</xdr:col>
      <xdr:colOff>609600</xdr:colOff>
      <xdr:row>3</xdr:row>
      <xdr:rowOff>422275</xdr:rowOff>
    </xdr:to>
    <xdr:pic>
      <xdr:nvPicPr>
        <xdr:cNvPr id="14" name="Picture 2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107950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371475</xdr:colOff>
      <xdr:row>3</xdr:row>
      <xdr:rowOff>104775</xdr:rowOff>
    </xdr:from>
    <xdr:to>
      <xdr:col>7</xdr:col>
      <xdr:colOff>723900</xdr:colOff>
      <xdr:row>3</xdr:row>
      <xdr:rowOff>466725</xdr:rowOff>
    </xdr:to>
    <xdr:pic>
      <xdr:nvPicPr>
        <xdr:cNvPr id="16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4155" t="5443" r="19466" b="90044"/>
        <a:stretch>
          <a:fillRect/>
        </a:stretch>
      </xdr:blipFill>
      <xdr:spPr bwMode="auto">
        <a:xfrm>
          <a:off x="8820150" y="104775"/>
          <a:ext cx="3524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2686051</xdr:colOff>
      <xdr:row>3</xdr:row>
      <xdr:rowOff>86545</xdr:rowOff>
    </xdr:from>
    <xdr:to>
      <xdr:col>4</xdr:col>
      <xdr:colOff>3175</xdr:colOff>
      <xdr:row>4</xdr:row>
      <xdr:rowOff>424897</xdr:rowOff>
    </xdr:to>
    <xdr:pic>
      <xdr:nvPicPr>
        <xdr:cNvPr id="17" name="Picture 256" descr="Chevrolet TrailBlaze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575688" y="1853279"/>
          <a:ext cx="635511" cy="78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3</xdr:row>
      <xdr:rowOff>85725</xdr:rowOff>
    </xdr:from>
    <xdr:to>
      <xdr:col>8</xdr:col>
      <xdr:colOff>752475</xdr:colOff>
      <xdr:row>3</xdr:row>
      <xdr:rowOff>381000</xdr:rowOff>
    </xdr:to>
    <xdr:sp macro="" textlink="">
      <xdr:nvSpPr>
        <xdr:cNvPr id="18" name="AutoShape 260"/>
        <xdr:cNvSpPr>
          <a:spLocks noChangeArrowheads="1"/>
        </xdr:cNvSpPr>
      </xdr:nvSpPr>
      <xdr:spPr bwMode="auto">
        <a:xfrm>
          <a:off x="10163175" y="85725"/>
          <a:ext cx="285750" cy="295275"/>
        </a:xfrm>
        <a:prstGeom prst="lightningBol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31750</xdr:colOff>
      <xdr:row>3</xdr:row>
      <xdr:rowOff>79376</xdr:rowOff>
    </xdr:from>
    <xdr:to>
      <xdr:col>1</xdr:col>
      <xdr:colOff>846664</xdr:colOff>
      <xdr:row>3</xdr:row>
      <xdr:rowOff>428626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68" t="17186" r="1317" b="4744"/>
        <a:stretch>
          <a:fillRect/>
        </a:stretch>
      </xdr:blipFill>
      <xdr:spPr bwMode="auto">
        <a:xfrm>
          <a:off x="31750" y="79376"/>
          <a:ext cx="814914" cy="349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123824</xdr:colOff>
      <xdr:row>0</xdr:row>
      <xdr:rowOff>158750</xdr:rowOff>
    </xdr:from>
    <xdr:to>
      <xdr:col>10</xdr:col>
      <xdr:colOff>0</xdr:colOff>
      <xdr:row>1</xdr:row>
      <xdr:rowOff>381000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68" t="17186" r="1317" b="4744"/>
        <a:stretch>
          <a:fillRect/>
        </a:stretch>
      </xdr:blipFill>
      <xdr:spPr bwMode="auto">
        <a:xfrm>
          <a:off x="8801099" y="158750"/>
          <a:ext cx="3620535" cy="784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111</xdr:row>
      <xdr:rowOff>0</xdr:rowOff>
    </xdr:from>
    <xdr:to>
      <xdr:col>8</xdr:col>
      <xdr:colOff>485058</xdr:colOff>
      <xdr:row>154</xdr:row>
      <xdr:rowOff>115221</xdr:rowOff>
    </xdr:to>
    <xdr:sp macro="" textlink="">
      <xdr:nvSpPr>
        <xdr:cNvPr id="22" name="Text Box 232"/>
        <xdr:cNvSpPr txBox="1">
          <a:spLocks noChangeArrowheads="1"/>
        </xdr:cNvSpPr>
      </xdr:nvSpPr>
      <xdr:spPr bwMode="auto">
        <a:xfrm>
          <a:off x="0" y="39375121"/>
          <a:ext cx="10179050" cy="73818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Дилерам предусмотрена система скидок по цене ТСУ.</a:t>
          </a:r>
        </a:p>
        <a:p>
          <a:pPr rtl="0"/>
          <a:r>
            <a:rPr lang="ru-RU" sz="1200" b="0" i="0" baseline="0">
              <a:latin typeface="Arial" pitchFamily="34" charset="0"/>
              <a:ea typeface="+mn-ea"/>
              <a:cs typeface="Arial" pitchFamily="34" charset="0"/>
            </a:rPr>
            <a:t>Диаметр сцепного шара составляет 50 мм. (в соответствии с </a:t>
          </a:r>
          <a:r>
            <a:rPr lang="ru-RU" sz="1200">
              <a:latin typeface="Arial" pitchFamily="34" charset="0"/>
              <a:ea typeface="+mn-ea"/>
              <a:cs typeface="Arial" pitchFamily="34" charset="0"/>
            </a:rPr>
            <a:t>ГОСТ Р 41.55-2005</a:t>
          </a:r>
          <a:r>
            <a:rPr lang="ru-RU" sz="1200" b="0" i="0" baseline="0">
              <a:latin typeface="Arial" pitchFamily="34" charset="0"/>
              <a:ea typeface="+mn-ea"/>
              <a:cs typeface="Arial" pitchFamily="34" charset="0"/>
            </a:rPr>
            <a:t>)</a:t>
          </a:r>
          <a:endParaRPr lang="en-US" sz="1200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Пояснения:</a:t>
          </a:r>
          <a:b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ru-RU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ТСУ и аксессуары имеющие формат артикулов: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«1234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-A</a:t>
          </a: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», </a:t>
          </a:r>
          <a:r>
            <a:rPr lang="ru-RU" sz="10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ru-RU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«Баф-0000»</a:t>
          </a:r>
          <a:r>
            <a:rPr lang="ru-RU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производятся на заводе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Bosal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в России (Оренбургская область, п. Новоорск)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«123-456»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производятся на заводе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Bosal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в Венгрии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А »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съемный на двух болтах шар, грузоподъемность 1500 кг.                                                           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 шар, грузоподъемность 1500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Е »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съемный, на гайке, грузоподъемностью 1500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съемный, кованый шар с 2 отверстиями,  грузоподъемность 3500 кг.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съемный, кованный шар с 4 отверстиями  грузоподъемность 3500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универсальный, с 4 отверстиями  грузоподъемностью 3500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 шар на двух болтах, грузоподъумность 2000 кг.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AK41 »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вертикальная быстросъемная система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ORIS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  <a:endParaRPr lang="en-US" sz="12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AK</a:t>
          </a:r>
          <a:r>
            <a:rPr lang="ru-RU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»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вертикальная быстросъемная система.</a:t>
          </a:r>
          <a:endParaRPr lang="en-US" sz="12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HB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хетчбек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mini truck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минигрузовик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minivan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минивэн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minibus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микроавтобус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pick-up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пикап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sedan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седан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truck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грузовик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van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фургон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wagon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универсал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4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x4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внедорожник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Продукция сертифицирована. По техническим вопросам обращаться по тел.: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(35363) 7-05-06, 7-05-07, 7-05-08, факс 7-13-20,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тел.\ факс (495) 799-13-46</a:t>
          </a: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Оставляем за собой право изменять цены и спецификации на продукцию.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127000</xdr:rowOff>
    </xdr:from>
    <xdr:to>
      <xdr:col>7</xdr:col>
      <xdr:colOff>0</xdr:colOff>
      <xdr:row>0</xdr:row>
      <xdr:rowOff>971550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568" t="17186" r="1317" b="4744"/>
        <a:stretch>
          <a:fillRect/>
        </a:stretch>
      </xdr:blipFill>
      <xdr:spPr bwMode="auto">
        <a:xfrm>
          <a:off x="10477500" y="127000"/>
          <a:ext cx="3626885" cy="8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Игорь ИЛ. Дроздецкий" refreshedDate="42541.580898495369" createdVersion="3" refreshedVersion="4" minRefreshableVersion="3" recordCount="519">
  <cacheSource type="worksheet">
    <worksheetSource ref="B5:M524" sheet="ТСУ (иномарки)"/>
  </cacheSource>
  <cacheFields count="14">
    <cacheField name="Каталож номер ТСУ" numFmtId="0">
      <sharedItems containsBlank="1" containsMixedTypes="1" containsNumber="1" containsInteger="1" minValue="9010" maxValue="9010" count="392">
        <m/>
        <s v="3508-A"/>
        <s v="2181-A"/>
        <s v="2133-A"/>
        <s v="3550-A"/>
        <s v="3551-A"/>
        <s v="3552-A"/>
        <s v="3554-A"/>
        <s v="3556-AK41"/>
        <s v="2151-A"/>
        <s v="3555-AK6"/>
        <s v="4753-A"/>
        <s v="4754-A"/>
        <s v="4751-A"/>
        <s v="4710-A"/>
        <s v="4750-A"/>
        <s v="4752-A"/>
        <n v="9010"/>
        <s v="044-684"/>
        <s v="5265-A"/>
        <s v="5257-A"/>
        <s v="5264-A"/>
        <s v="5254-A"/>
        <s v="5252-A"/>
        <s v="5270-A"/>
        <s v="5268-A"/>
        <s v="5262-A"/>
        <s v="5259-A"/>
        <s v="5266-A"/>
        <s v="5253-A"/>
        <s v="5250-A"/>
        <s v="5224-A"/>
        <s v="5251-A"/>
        <s v="5206-A"/>
        <s v="5261-A"/>
        <s v="5255-A"/>
        <s v="5267-A"/>
        <s v="5269-FL"/>
        <s v="4816-A"/>
        <s v="7601-A"/>
        <s v="7608-A"/>
        <s v="7603-A"/>
        <s v="7604-A"/>
        <s v="7602-A"/>
        <s v="7606-A"/>
        <s v="3033-A"/>
        <s v="7605-A"/>
        <s v="7607-A"/>
        <s v="9008-A"/>
        <s v="2550-A"/>
        <s v="2527-A"/>
        <s v="2551-A"/>
        <s v="4159-A"/>
        <s v="2635-A"/>
        <s v="2555-A"/>
        <s v="2636-A"/>
        <s v="4155-C"/>
        <s v="4165-E"/>
        <s v="2634-F"/>
        <s v="5260-A"/>
        <s v="5258-A"/>
        <s v="5256-A"/>
        <s v="9005-A"/>
        <s v="9006-A"/>
        <s v="2633-A"/>
        <s v="2626-A"/>
        <s v="2627-A"/>
        <s v="2851-A"/>
        <s v="3983-A"/>
        <s v="3985-A"/>
        <s v="3980-F"/>
        <s v="3981-FL"/>
        <s v="3963-A"/>
        <s v="3971-A"/>
        <s v="3987-A"/>
        <s v="036-251"/>
        <s v="3945-A"/>
        <s v="3986-A"/>
        <s v="3936-A"/>
        <s v="3948-A"/>
        <s v="3949-A"/>
        <s v="3967-A"/>
        <s v="3968-A"/>
        <s v="3973-A"/>
        <s v="3929-A"/>
        <s v="3957-A"/>
        <s v="3961-A"/>
        <s v="3976-A"/>
        <s v="4521-A"/>
        <s v="3950-A"/>
        <s v="3966-A"/>
        <s v="3978-F"/>
        <s v="3956-F"/>
        <s v="3958-F"/>
        <s v="3969-F"/>
        <s v="3960-A"/>
        <s v="3964-A"/>
        <s v="3979-A"/>
        <s v="3977-F"/>
        <s v="3970-F"/>
        <s v="3982-F"/>
        <s v="3984-F"/>
        <s v="9004-A"/>
        <s v="9007-F"/>
        <s v="9011-F"/>
        <s v="9001-A"/>
        <s v="9003-A"/>
        <s v="3303-A"/>
        <s v="3307-A"/>
        <s v="3317-A"/>
        <s v="3315-A"/>
        <s v="3316-A"/>
        <s v="3302-A"/>
        <s v="3313-F"/>
        <s v="9009-A"/>
        <s v="5505-A"/>
        <s v="5518-A"/>
        <s v="5531-A"/>
        <s v="5533-A"/>
        <s v="5506-A"/>
        <s v="4253-A"/>
        <s v="4246-A"/>
        <s v="4221-A"/>
        <s v="4259-A"/>
        <s v="4238-A"/>
        <s v="4242-A"/>
        <s v="4223-A"/>
        <s v="4241-A"/>
        <s v="4250-A"/>
        <s v="4256-A"/>
        <s v="4247-A"/>
        <s v="6737-A"/>
        <s v="6751-A"/>
        <s v="6756-A"/>
        <s v="4244-A"/>
        <s v="4243-A"/>
        <s v="4245-A"/>
        <s v="4251-V"/>
        <s v="4258-A"/>
        <s v="4227-A"/>
        <s v="4237-A"/>
        <s v="4254-A"/>
        <s v="4260-A"/>
        <s v="4255-A"/>
        <s v="4230-A"/>
        <s v="4225-F"/>
        <s v="4261-A"/>
        <s v="4235-A"/>
        <s v="4239-A"/>
        <s v="8010-A"/>
        <s v="8011-A"/>
        <s v="3401-A"/>
        <s v="3318-A"/>
        <s v="4810-A"/>
        <s v="4851-A"/>
        <s v="6735-A"/>
        <s v="6738-A"/>
        <s v="6736-A"/>
        <s v="6744-A"/>
        <s v="6732-A"/>
        <s v="6753-A"/>
        <s v="6758-A"/>
        <s v="6755-A"/>
        <s v="6747-A"/>
        <s v="6749-A"/>
        <s v="6733-A"/>
        <s v="033-164"/>
        <s v="6743-A"/>
        <s v="6748-A"/>
        <s v="6740-F"/>
        <s v="6719-A"/>
        <s v="6719-F"/>
        <s v="6734-A"/>
        <s v="6741-A"/>
        <s v="6757-A"/>
        <s v="6745-A"/>
        <s v="6754-A"/>
        <s v="6731-A"/>
        <s v="6746-A"/>
        <s v="6730-A"/>
        <s v="7354-A"/>
        <s v="7351-A"/>
        <s v="7353-A"/>
        <s v="3095-A"/>
        <s v="3011-E"/>
        <s v="3063-ABP"/>
        <s v="3071-AL"/>
        <s v="3096-ABP"/>
        <s v="3062-A"/>
        <s v="3079-FL"/>
        <s v="3090-FL"/>
        <s v="3040-A"/>
        <s v="3092-F"/>
        <s v="3097-A"/>
        <s v="3094-A"/>
        <s v="3010-E"/>
        <s v="3032-A"/>
        <s v="3032-ABP"/>
        <s v="3054-F"/>
        <s v="3054-ABP"/>
        <s v="3054-A"/>
        <s v="3072-AL"/>
        <s v="3091-FL"/>
        <s v="3042-A"/>
        <s v="3041-A"/>
        <s v="3041-ABP"/>
        <s v="3078-FL"/>
        <s v="3073-A"/>
        <s v="3308-A"/>
        <s v="3310-A"/>
        <s v="3319-A"/>
        <s v="3309-A"/>
        <s v="3320-A"/>
        <s v="3314-A"/>
        <s v="4529-A"/>
        <s v="4522-A"/>
        <s v="4528-A"/>
        <s v="4530-A"/>
        <s v="038-190"/>
        <s v="4532-A"/>
        <s v="4526-A"/>
        <s v="4531-A"/>
        <s v="4527-A"/>
        <s v="2251-A"/>
        <s v="2216-H"/>
        <s v="2252-A"/>
        <s v="2255-AK41"/>
        <s v="2250-F"/>
        <s v="2254-F"/>
        <s v="4153-F"/>
        <s v="4158-FBP"/>
        <s v="4164-F"/>
        <s v="4151-A"/>
        <s v="4154-A"/>
        <s v="4163-A"/>
        <s v="4152-A"/>
        <s v="4162-A"/>
        <s v="4125-F"/>
        <s v="4160-A"/>
        <s v="4124-A"/>
        <s v="4126-F"/>
        <s v="4156-A"/>
        <s v="4157-ABP"/>
        <s v="4331-A"/>
        <s v="4353-A"/>
        <s v="4373-A"/>
        <s v="4370-A"/>
        <s v="4372-A"/>
        <s v="4351-A"/>
        <s v="4365-A"/>
        <s v="4360-F"/>
        <s v="4355-A"/>
        <s v="4366-A"/>
        <s v="4350-A"/>
        <s v="4375-A"/>
        <s v="4323-A"/>
        <s v="4368-V"/>
        <s v="4369-F"/>
        <s v="4334-A"/>
        <s v="4357-A"/>
        <s v="4376-A"/>
        <s v="4374-A"/>
        <s v="4362-A"/>
        <s v="4378-A"/>
        <s v="4337-A"/>
        <s v="4371-A"/>
        <s v="4377-A"/>
        <s v="1150-A"/>
        <s v="1165-A"/>
        <s v="1171-A"/>
        <s v="037-051"/>
        <s v="1178-A"/>
        <s v="1181-A"/>
        <s v="1184-A"/>
        <s v="1174-A"/>
        <s v="1173-A"/>
        <s v="1177-A"/>
        <s v="1176-A"/>
        <s v="1180-A"/>
        <s v="1183-A"/>
        <s v="1175-A"/>
        <s v="1182-A"/>
        <s v="2557-A"/>
        <s v="034-962"/>
        <s v="2143-A"/>
        <s v="2197-A"/>
        <s v="2731-A"/>
        <s v="1429-A"/>
        <s v="1428-A"/>
        <s v="1426-A"/>
        <s v="1421-A"/>
        <s v="1432-A"/>
        <s v="038-991"/>
        <s v="1418-A"/>
        <s v="1434-F"/>
        <s v="1420-A"/>
        <s v="1425-A"/>
        <s v="1422-A"/>
        <s v="1427-A"/>
        <s v="1433-A"/>
        <s v="1911-A"/>
        <s v="1922-A"/>
        <s v="1909-A"/>
        <s v="1918-A"/>
        <s v="1926-AK41"/>
        <s v="1923-A"/>
        <s v="1925-A"/>
        <s v="038-841"/>
        <s v="1920-A"/>
        <s v="2137-A"/>
        <s v="1921-A"/>
        <s v="2198-A"/>
        <s v="1924-A"/>
        <s v="6450-A"/>
        <s v="6455-A"/>
        <s v="6453-F"/>
        <s v="6452-A"/>
        <s v="6405-A"/>
        <s v="6451-A"/>
        <s v="6456-A"/>
        <s v="6301-A"/>
        <s v="6303-A"/>
        <s v="6311-A"/>
        <s v="6302-A"/>
        <s v="6309-A"/>
        <s v="6312-A"/>
        <s v="6308-A"/>
        <s v="6310-A"/>
        <s v="2850-F"/>
        <s v="2850-A"/>
        <s v="2850-ABP"/>
        <s v="2817-A"/>
        <s v="2852-A"/>
        <s v="2856-A"/>
        <s v="040-273"/>
        <s v="3059-A"/>
        <s v="044-421"/>
        <s v="3067-A"/>
        <s v="3077-A"/>
        <s v="037-181"/>
        <s v="3066-A"/>
        <s v="3068-A"/>
        <s v="037-171"/>
        <s v="3056-A"/>
        <s v="3034-A"/>
        <s v="028-031"/>
        <s v="3035-A"/>
        <s v="3087-A"/>
        <s v="028-041"/>
        <s v="3036-A"/>
        <s v="3041-VBP"/>
        <s v="3074-F"/>
        <s v="3086-FL"/>
        <s v="3088-F"/>
        <s v="3089-FL"/>
        <s v="3065-F"/>
        <s v="3093-F"/>
        <s v="3022-F"/>
        <s v="3060-F"/>
        <s v="3083-AK41"/>
        <s v="3040-ABP"/>
        <s v="3040-VBP"/>
        <s v="3082-AK41"/>
        <s v="3043-A"/>
        <s v="3084-A"/>
        <s v="3085-A"/>
        <s v="3069-A"/>
        <s v="2152-E"/>
        <s v="2192-F"/>
        <s v="2150-A"/>
        <s v="2187-A"/>
        <s v="2189-A"/>
        <s v="2194-A"/>
        <s v="2116-A"/>
        <s v="2185-A"/>
        <s v="2195-A"/>
        <s v="2153-AK41"/>
        <s v="2193-A"/>
        <s v="2186-A"/>
        <s v="2119-A"/>
        <s v="020-000"/>
        <s v="2182-F"/>
        <s v="7011-A"/>
        <s v="7010-A"/>
        <s v="022-104"/>
        <s v="022-134"/>
        <s v="БАФ-0168"/>
        <s v="БАФ-0002"/>
        <s v="БАФ-0179"/>
        <s v="7801-F"/>
        <s v="8001-E"/>
        <s v="8002-E"/>
      </sharedItems>
    </cacheField>
    <cacheField name="Тип шара" numFmtId="0">
      <sharedItems containsBlank="1"/>
    </cacheField>
    <cacheField name="       Марка и модель автомобиля" numFmtId="0">
      <sharedItems containsBlank="1" containsMixedTypes="1" containsNumber="1" containsInteger="1" minValue="4008" maxValue="4008" longText="1"/>
    </cacheField>
    <cacheField name="Год выпуска" numFmtId="0">
      <sharedItems containsBlank="1" containsMixedTypes="1" containsNumber="1" containsInteger="1" minValue="2013" maxValue="2014" longText="1"/>
    </cacheField>
    <cacheField name="Статус" numFmtId="0">
      <sharedItems containsBlank="1"/>
    </cacheField>
    <cacheField name="Код шара" numFmtId="0">
      <sharedItems containsBlank="1" containsMixedTypes="1" containsNumber="1" containsInteger="1" minValue="138" maxValue="8814"/>
    </cacheField>
    <cacheField name=" вырез бампера" numFmtId="0">
      <sharedItems containsBlank="1"/>
    </cacheField>
    <cacheField name="горизонт/верт нагрузка на шар " numFmtId="0">
      <sharedItems containsBlank="1" containsMixedTypes="1" containsNumber="1" containsInteger="1" minValue="1" maxValue="1"/>
    </cacheField>
    <cacheField name="Smart-Connect Bosal" numFmtId="0">
      <sharedItems containsBlank="1"/>
    </cacheField>
    <cacheField name="Нержавеющая пластина " numFmtId="0">
      <sharedItems containsBlank="1"/>
    </cacheField>
    <cacheField name="Оптовая" numFmtId="0">
      <sharedItems containsString="0" containsBlank="1" containsNumber="1" minValue="50" maxValue="26000"/>
    </cacheField>
    <cacheField name="Минимальная оптовая цена продажи" numFmtId="0">
      <sharedItems containsBlank="1" containsMixedTypes="1" containsNumber="1" minValue="0" maxValue="23400"/>
    </cacheField>
    <cacheField name="Рекомендованная розничная цена" numFmtId="0">
      <sharedItems containsString="0" containsBlank="1" containsNumber="1" minValue="0" maxValue="32500"/>
    </cacheField>
    <cacheField name="Минимальная розничная цена продажи" numFmtId="0">
      <sharedItems containsString="0" containsBlank="1" containsNumber="1" minValue="0" maxValue="276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Игорь ИЛ. Дроздецкий" refreshedDate="42541.580898958331" createdVersion="4" refreshedVersion="4" minRefreshableVersion="3" recordCount="122">
  <cacheSource type="worksheet">
    <worksheetSource ref="B5:L127" sheet="ТСУ (Россия)"/>
  </cacheSource>
  <cacheFields count="13">
    <cacheField name="Каталож номер ТСУ" numFmtId="0">
      <sharedItems containsBlank="1" count="45">
        <m/>
        <s v="1223-A"/>
        <s v="1230-E"/>
        <s v="1229-E"/>
        <s v="1218-A"/>
        <s v="1219-A"/>
        <s v="3806-A"/>
        <s v="3806-H"/>
        <s v="5601-F"/>
        <s v="5602-F"/>
        <s v="5605-F"/>
        <s v="5606-A"/>
        <s v="5607-A"/>
        <s v="5608-A"/>
        <s v="5611-A"/>
        <s v="5612-F"/>
        <s v="5613-F"/>
        <s v="5614-F"/>
        <s v="6501-A"/>
        <s v="6501-H"/>
        <s v="6506-A"/>
        <s v="6505-A"/>
        <s v="6508-A"/>
        <s v="6509-E"/>
        <s v="1203-H"/>
        <s v="1203-A"/>
        <s v="1205-A"/>
        <s v="1206-H"/>
        <s v="1206-A"/>
        <s v="1207-HN"/>
        <s v="1207-AN"/>
        <s v="1233-A"/>
        <s v="1209-H"/>
        <s v="1216-A"/>
        <s v="1216-H"/>
        <s v="1232-A"/>
        <s v="1219-H"/>
        <s v="1226-H"/>
        <s v="1226-A"/>
        <s v="1228-A"/>
        <s v="1231-A"/>
        <s v="1234-A"/>
        <s v="1235-A"/>
        <s v="Розетка к ТСУ  EDV 7P (без эл. жгута)"/>
        <s v="Сцепной шар типа &quot;А&quot; "/>
      </sharedItems>
    </cacheField>
    <cacheField name="Тип шара" numFmtId="0">
      <sharedItems containsBlank="1"/>
    </cacheField>
    <cacheField name="              Марка и модель автомобиля" numFmtId="0">
      <sharedItems containsBlank="1" longText="1"/>
    </cacheField>
    <cacheField name="Год выпуска" numFmtId="0">
      <sharedItems containsBlank="1"/>
    </cacheField>
    <cacheField name="Техническая информация" numFmtId="0">
      <sharedItems containsBlank="1"/>
    </cacheField>
    <cacheField name="Статус" numFmtId="0">
      <sharedItems containsBlank="1"/>
    </cacheField>
    <cacheField name="Код шара" numFmtId="0">
      <sharedItems containsBlank="1"/>
    </cacheField>
    <cacheField name="максим / верт нагрузка на шар " numFmtId="0">
      <sharedItems containsBlank="1"/>
    </cacheField>
    <cacheField name="Smart-Connect Bosal" numFmtId="0">
      <sharedItems containsBlank="1"/>
    </cacheField>
    <cacheField name="Оптовая" numFmtId="0">
      <sharedItems containsString="0" containsBlank="1" containsNumber="1" minValue="141" maxValue="5950"/>
    </cacheField>
    <cacheField name="Минимальная Оптовая цена продажи" numFmtId="3">
      <sharedItems containsBlank="1" containsMixedTypes="1" containsNumber="1" minValue="126.9" maxValue="5355"/>
    </cacheField>
    <cacheField name="Рекомендованная розничная цена" numFmtId="3">
      <sharedItems containsString="0" containsBlank="1" containsNumber="1" minValue="176.25" maxValue="7437.5"/>
    </cacheField>
    <cacheField name="Минимальная розничная цена продажи" numFmtId="0">
      <sharedItems containsString="0" containsBlank="1" containsNumber="1" minValue="149.8125" maxValue="6321.8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Игорь ИЛ. Дроздецкий" refreshedDate="42541.580899074077" createdVersion="4" refreshedVersion="4" minRefreshableVersion="3" recordCount="106">
  <cacheSource type="worksheet">
    <worksheetSource ref="B5:K137" sheet="ТСУ и аксессуары (Импорт)"/>
  </cacheSource>
  <cacheFields count="12">
    <cacheField name="Каталож номер ТСУ" numFmtId="0">
      <sharedItems containsBlank="1" count="62">
        <m/>
        <s v="038-041"/>
        <s v="050-523"/>
        <s v="037-351"/>
        <s v="050-323"/>
        <s v="029-741"/>
        <s v="050-513"/>
        <s v="044-191"/>
        <s v="050-473"/>
        <s v="048-043"/>
        <s v="050-573"/>
        <s v="048-983"/>
        <s v="043-252"/>
        <s v="034-962"/>
        <s v="038-961"/>
        <s v="050-583"/>
        <s v="049-483"/>
        <s v="037-981"/>
        <s v="037-881"/>
        <s v="029-441"/>
        <s v="048-343"/>
        <s v="044-821"/>
        <s v="049-713"/>
        <s v="040-221"/>
        <s v="034-141"/>
        <s v="034-143"/>
        <s v="040-231"/>
        <s v="051-273"/>
        <s v="044-321"/>
        <s v="044-323"/>
        <s v="040-211"/>
        <s v="042-621"/>
        <s v="038-761"/>
        <s v="051-053"/>
        <s v="050-533"/>
        <s v="049-683"/>
        <s v="043-033"/>
        <s v="049-443"/>
        <s v="044-351"/>
        <s v="017-072"/>
        <s v="042-631"/>
        <s v="050-613"/>
        <s v="027-401"/>
        <s v="038-211"/>
        <s v="049-803"/>
        <s v="035-791"/>
        <s v="038-861"/>
        <s v="051-123"/>
        <s v="034-991"/>
        <s v="050-043"/>
        <s v="041-248"/>
        <s v="030-238"/>
        <s v="022-007"/>
        <s v="022-504"/>
        <s v="023-654"/>
        <s v="023-394"/>
        <s v="026-314"/>
        <s v="010-178"/>
        <s v="022-004"/>
        <s v="024-698"/>
        <s v="000-214"/>
        <s v="024-374"/>
      </sharedItems>
    </cacheField>
    <cacheField name="Тип шара" numFmtId="0">
      <sharedItems containsBlank="1"/>
    </cacheField>
    <cacheField name="    Марка и модель автомобиля" numFmtId="0">
      <sharedItems containsBlank="1" longText="1"/>
    </cacheField>
    <cacheField name="Год выпуска" numFmtId="0">
      <sharedItems containsBlank="1" containsMixedTypes="1" containsNumber="1" containsInteger="1" minValue="2007" maxValue="2013"/>
    </cacheField>
    <cacheField name="Техническая информация" numFmtId="0">
      <sharedItems containsBlank="1"/>
    </cacheField>
    <cacheField name=" вырез бампера" numFmtId="0">
      <sharedItems containsBlank="1"/>
    </cacheField>
    <cacheField name="горизонт/верт нагрузка на шар " numFmtId="0">
      <sharedItems containsBlank="1"/>
    </cacheField>
    <cacheField name="Smart-Connect Bosal" numFmtId="0">
      <sharedItems containsBlank="1"/>
    </cacheField>
    <cacheField name="Оптовая" numFmtId="0">
      <sharedItems containsString="0" containsBlank="1" containsNumber="1" containsInteger="1" minValue="312" maxValue="30524"/>
    </cacheField>
    <cacheField name="Минимальная оптовая цена продажи" numFmtId="0">
      <sharedItems containsBlank="1" containsMixedTypes="1" containsNumber="1" minValue="280.8" maxValue="27471.600000000002"/>
    </cacheField>
    <cacheField name="Рекомендованная розничная цена" numFmtId="0">
      <sharedItems containsString="0" containsBlank="1" containsNumber="1" minValue="380.64" maxValue="37239.279999999999"/>
    </cacheField>
    <cacheField name="Минимальная розничная цена продажи" numFmtId="0">
      <sharedItems containsString="0" containsBlank="1" containsNumber="1" minValue="323.54399999999998" maxValue="31653.387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9">
  <r>
    <x v="0"/>
    <m/>
    <s v="AUDI"/>
    <m/>
    <m/>
    <m/>
    <m/>
    <m/>
    <m/>
    <m/>
    <m/>
    <m/>
    <m/>
    <m/>
  </r>
  <r>
    <x v="1"/>
    <s v="A"/>
    <s v="100 sedan, wagon                                                                                                                                                                                                            A6 sedan, wagon                                                                                                                                                                                                                     A6 Quattro sedan, wagon                                                                                                                                                                                                                                        "/>
    <s v="1990/12-1994                                                                                                                                                                                                          1994-1997/3                                                                                                                                                                                                                        1994-1997/3"/>
    <m/>
    <s v="0181"/>
    <m/>
    <s v="1200/75"/>
    <m/>
    <m/>
    <n v="6670.8"/>
    <n v="6003.72"/>
    <n v="8338.5"/>
    <n v="7087.7249999999995"/>
  </r>
  <r>
    <x v="2"/>
    <s v="A"/>
    <s v=" Q3             "/>
    <s v="2011-  "/>
    <m/>
    <s v="0859"/>
    <s v="%"/>
    <s v="1500/50"/>
    <s v="022-007 "/>
    <m/>
    <n v="6262.8"/>
    <n v="5636.52"/>
    <n v="7828.5"/>
    <n v="6654.2249999999995"/>
  </r>
  <r>
    <x v="3"/>
    <s v="A"/>
    <s v="A3 HB,"/>
    <s v="1996-2003/6  "/>
    <m/>
    <s v="0815"/>
    <s v="%"/>
    <s v="1400/75"/>
    <m/>
    <m/>
    <n v="5416.2"/>
    <n v="4874.58"/>
    <n v="6770.25"/>
    <n v="5754.7124999999996"/>
  </r>
  <r>
    <x v="4"/>
    <s v="A"/>
    <s v="A6 Allroad Quattro wagon"/>
    <s v="2000-2005"/>
    <m/>
    <s v="0857"/>
    <m/>
    <s v="1500/75"/>
    <m/>
    <m/>
    <n v="6580"/>
    <n v="5922"/>
    <n v="8225"/>
    <n v="6991.25"/>
  </r>
  <r>
    <x v="5"/>
    <s v="A"/>
    <s v="Q5 4x4 (без электрики)"/>
    <s v="2008-"/>
    <m/>
    <s v="0833"/>
    <m/>
    <s v="1500/75"/>
    <s v="022-007"/>
    <m/>
    <n v="6375"/>
    <n v="5737.5"/>
    <n v="7968.75"/>
    <n v="6773.4375"/>
  </r>
  <r>
    <x v="6"/>
    <s v="A"/>
    <s v="Q7 4x4 (без электрики)"/>
    <s v="2006-2012"/>
    <m/>
    <s v="0807"/>
    <s v="%"/>
    <s v="1500/75"/>
    <s v="041-248"/>
    <m/>
    <n v="7764"/>
    <n v="6987.6"/>
    <n v="9705"/>
    <n v="8249.25"/>
  </r>
  <r>
    <x v="7"/>
    <s v="A"/>
    <s v="Q7 4x4 (без электрики)"/>
    <s v="2013-2015"/>
    <m/>
    <s v="8886"/>
    <s v="%"/>
    <s v="1500/75"/>
    <s v="022-007"/>
    <m/>
    <n v="6599.4000000000005"/>
    <n v="5939.4600000000009"/>
    <n v="8249.25"/>
    <n v="7011.8625000000002"/>
  </r>
  <r>
    <x v="8"/>
    <s v="AK41"/>
    <s v=" Q7 4х4 (без электрики)"/>
    <s v="2015-"/>
    <s v="Нов. 2016"/>
    <s v="0100.3890.049"/>
    <s v="%"/>
    <s v="3500/140"/>
    <s v="022-007"/>
    <m/>
    <n v="19645.2"/>
    <n v="17680.68"/>
    <n v="24556.5"/>
    <n v="20873.024999999998"/>
  </r>
  <r>
    <x v="9"/>
    <s v="A"/>
    <s v="Q7 4x4 (без электрики) "/>
    <s v="2006-2015"/>
    <s v="Нов. 2016"/>
    <s v="8891"/>
    <s v="%"/>
    <s v="3500/140"/>
    <s v="022-007"/>
    <m/>
    <n v="7038"/>
    <n v="6334.2"/>
    <n v="8797.5"/>
    <n v="7477.875"/>
  </r>
  <r>
    <x v="0"/>
    <m/>
    <m/>
    <m/>
    <m/>
    <m/>
    <s v="по необходим"/>
    <m/>
    <m/>
    <m/>
    <m/>
    <n v="0"/>
    <n v="0"/>
    <n v="0"/>
  </r>
  <r>
    <x v="10"/>
    <s v="AK6"/>
    <s v="Q7 4x4 (без электрики)                    "/>
    <s v="2006-2015"/>
    <s v="Нов. 2015"/>
    <s v="99-4285-4416"/>
    <s v="%"/>
    <s v="3500/140"/>
    <s v="022-007"/>
    <m/>
    <n v="15100"/>
    <n v="13590"/>
    <n v="18875"/>
    <n v="16043.75"/>
  </r>
  <r>
    <x v="0"/>
    <m/>
    <s v="BMW"/>
    <m/>
    <m/>
    <m/>
    <m/>
    <m/>
    <m/>
    <m/>
    <m/>
    <m/>
    <m/>
    <m/>
  </r>
  <r>
    <x v="11"/>
    <s v="A"/>
    <s v="X1 (без электрики)"/>
    <s v="2009-"/>
    <m/>
    <s v="0829"/>
    <m/>
    <s v="1500/50 "/>
    <s v="022-007"/>
    <m/>
    <n v="5457"/>
    <n v="4911.3"/>
    <n v="6821.25"/>
    <n v="5798.0625"/>
  </r>
  <r>
    <x v="12"/>
    <s v="A"/>
    <s v="X-3 4x4 (F25) (без электрики)"/>
    <s v="2010-"/>
    <s v="Нов. 2016"/>
    <s v="8892"/>
    <s v="%"/>
    <s v="2400/100"/>
    <s v="022-007"/>
    <m/>
    <n v="5916"/>
    <n v="5324.4000000000005"/>
    <n v="7395"/>
    <n v="6285.75"/>
  </r>
  <r>
    <x v="13"/>
    <s v="A"/>
    <s v="X-3 4x4 (без электрики)"/>
    <s v="2004-2010"/>
    <m/>
    <s v="0800"/>
    <s v="%"/>
    <s v="1500/50"/>
    <s v="022-007"/>
    <m/>
    <n v="8078.4000000000005"/>
    <n v="7270.56"/>
    <n v="10098"/>
    <n v="8583.2999999999993"/>
  </r>
  <r>
    <x v="14"/>
    <s v="A"/>
    <s v="X-5 4x4 (без электрики)"/>
    <s v="2000-2007/2"/>
    <m/>
    <s v="0817"/>
    <m/>
    <s v="1500/75"/>
    <s v="022-007"/>
    <m/>
    <n v="8935.2000000000007"/>
    <n v="8041.6800000000012"/>
    <n v="11169"/>
    <n v="9493.65"/>
  </r>
  <r>
    <x v="15"/>
    <s v="A"/>
    <s v="X-5 4x4 (без электрики) кроме X5 M, X5 xDrive M50d"/>
    <s v="2007/3-"/>
    <m/>
    <s v="0220"/>
    <m/>
    <s v="1500/50"/>
    <s v="022-007"/>
    <m/>
    <n v="8353.7999999999993"/>
    <n v="7518.4199999999992"/>
    <n v="10442.25"/>
    <n v="8875.9125000000004"/>
  </r>
  <r>
    <x v="16"/>
    <s v="A"/>
    <s v="X-6 4x4 (без электрики)"/>
    <s v="2008-"/>
    <m/>
    <s v="0173"/>
    <m/>
    <s v="1500/50"/>
    <s v="022-007"/>
    <m/>
    <n v="8353.7999999999993"/>
    <n v="7518.4199999999992"/>
    <n v="10442.25"/>
    <n v="8875.9125000000004"/>
  </r>
  <r>
    <x v="0"/>
    <m/>
    <s v="BRILLIANCE"/>
    <m/>
    <m/>
    <m/>
    <m/>
    <m/>
    <m/>
    <m/>
    <m/>
    <m/>
    <m/>
    <m/>
  </r>
  <r>
    <x v="17"/>
    <s v="A"/>
    <s v="V5 (без электрики)"/>
    <s v="2014-"/>
    <m/>
    <m/>
    <s v="%"/>
    <s v="1250/75"/>
    <m/>
    <m/>
    <n v="5763"/>
    <n v="5186.7"/>
    <n v="7203.75"/>
    <n v="6123.1875"/>
  </r>
  <r>
    <x v="0"/>
    <m/>
    <s v="CHEVROLET"/>
    <m/>
    <m/>
    <m/>
    <m/>
    <m/>
    <m/>
    <m/>
    <m/>
    <m/>
    <m/>
    <m/>
  </r>
  <r>
    <x v="18"/>
    <s v="C"/>
    <s v="Aveo HB  (без электрики)"/>
    <s v="2008-2011"/>
    <m/>
    <m/>
    <m/>
    <s v="1200/50"/>
    <m/>
    <m/>
    <n v="7344"/>
    <n v="6480"/>
    <n v="9000"/>
    <n v="7650"/>
  </r>
  <r>
    <x v="19"/>
    <s v="A"/>
    <s v="Aveo HB  (без электрики)"/>
    <s v="2011-"/>
    <m/>
    <s v="8854"/>
    <s v="%"/>
    <s v="1100/40"/>
    <s v="022-007, 030-238"/>
    <m/>
    <n v="4773.6000000000004"/>
    <n v="4296.2400000000007"/>
    <n v="5967"/>
    <n v="5071.95"/>
  </r>
  <r>
    <x v="20"/>
    <s v="A"/>
    <s v="Aveo HB, ZAZ Vida                                                                                                                          "/>
    <s v="2008/3-2012"/>
    <m/>
    <s v="0854"/>
    <m/>
    <s v="1200/50"/>
    <m/>
    <m/>
    <n v="4500"/>
    <n v="4050"/>
    <n v="5625"/>
    <n v="4781.25"/>
  </r>
  <r>
    <x v="21"/>
    <s v="A"/>
    <s v="Aveo sedan  (без электрики)"/>
    <s v=" 2012/1-..."/>
    <m/>
    <s v="8138"/>
    <m/>
    <s v="1100/50"/>
    <s v="022-007"/>
    <m/>
    <n v="4947"/>
    <n v="4452.3"/>
    <n v="6183.75"/>
    <n v="5256.1875"/>
  </r>
  <r>
    <x v="22"/>
    <s v="A"/>
    <s v="Aveo sedan, ZAZ Vida"/>
    <s v="2006-2012"/>
    <m/>
    <s v="0852"/>
    <m/>
    <s v="1100/50"/>
    <m/>
    <m/>
    <n v="4947"/>
    <n v="4452.3"/>
    <n v="6183.75"/>
    <n v="5256.1875"/>
  </r>
  <r>
    <x v="23"/>
    <s v="A"/>
    <s v="Captivа 4x4"/>
    <s v="2006-2013/06"/>
    <m/>
    <s v="0836"/>
    <s v="%"/>
    <s v="1500/75"/>
    <m/>
    <m/>
    <n v="7303.2"/>
    <n v="6572.88"/>
    <n v="9129"/>
    <n v="7759.65"/>
  </r>
  <r>
    <x v="24"/>
    <s v="A"/>
    <s v="Captivа 4x4    (без электрики)"/>
    <s v="2013-"/>
    <m/>
    <s v="8186"/>
    <m/>
    <s v="2000/100"/>
    <m/>
    <m/>
    <n v="7364.4000000000005"/>
    <n v="6627.9600000000009"/>
    <n v="9205.5"/>
    <n v="7824.6750000000002"/>
  </r>
  <r>
    <x v="25"/>
    <s v="A"/>
    <s v="Cobalt (без электрики)"/>
    <s v="2013-"/>
    <m/>
    <s v="8882"/>
    <m/>
    <s v="1000/75"/>
    <s v="022-007"/>
    <m/>
    <n v="5069.3999999999996"/>
    <n v="4562.46"/>
    <n v="6336.75"/>
    <n v="5386.2375000000002"/>
  </r>
  <r>
    <x v="26"/>
    <s v="A"/>
    <s v="Cruze HB (без электрики)"/>
    <s v="2010/1 -"/>
    <m/>
    <s v="0826"/>
    <s v="%"/>
    <s v="1100/50"/>
    <s v="022-007, 030-238"/>
    <m/>
    <n v="4620.6000000000004"/>
    <n v="4158.5400000000009"/>
    <n v="5775.75"/>
    <n v="4909.3874999999998"/>
  </r>
  <r>
    <x v="27"/>
    <s v="A"/>
    <s v="Cruze sedan"/>
    <s v="2009-"/>
    <m/>
    <s v="0871"/>
    <s v="%"/>
    <s v="1100/50"/>
    <m/>
    <m/>
    <n v="4896"/>
    <n v="4406.4000000000005"/>
    <n v="6120"/>
    <n v="5202"/>
  </r>
  <r>
    <x v="28"/>
    <s v="A"/>
    <s v="Cruze SW (без электрики)"/>
    <s v="2013-"/>
    <m/>
    <s v="8881"/>
    <m/>
    <s v="1500/75"/>
    <m/>
    <m/>
    <n v="4620.6000000000004"/>
    <n v="4158.5400000000009"/>
    <n v="5775.75"/>
    <n v="4909.3874999999998"/>
  </r>
  <r>
    <x v="29"/>
    <s v="A"/>
    <s v="Epica sedan"/>
    <s v="2007-2010"/>
    <m/>
    <s v="0828"/>
    <m/>
    <s v="1300/50"/>
    <m/>
    <m/>
    <n v="6069"/>
    <n v="5462.1"/>
    <n v="7586.25"/>
    <n v="6448.3125"/>
  </r>
  <r>
    <x v="30"/>
    <s v="A"/>
    <s v="Lacetti HB                                                                                                                     Daewoo Nubira HB "/>
    <s v="2004/4-2012"/>
    <m/>
    <s v="0803"/>
    <s v="%"/>
    <s v="1200/75"/>
    <m/>
    <m/>
    <n v="6048.6"/>
    <n v="5443.7400000000007"/>
    <n v="7560.75"/>
    <n v="6426.6374999999998"/>
  </r>
  <r>
    <x v="31"/>
    <s v="A"/>
    <s v="Lacetti sedan                                                                                                          Daewoo Nubira sedan"/>
    <s v="2003/6-2012"/>
    <m/>
    <s v="0821"/>
    <m/>
    <s v="1100/75"/>
    <m/>
    <m/>
    <n v="6048.6"/>
    <n v="5443.7400000000007"/>
    <n v="7560.75"/>
    <n v="6426.6374999999998"/>
  </r>
  <r>
    <x v="32"/>
    <s v="A"/>
    <s v="Lacetti wagon                                                                                                              Daewoo Nubira wagon"/>
    <s v="2004-2012"/>
    <m/>
    <s v="0833"/>
    <m/>
    <s v="1200/75"/>
    <m/>
    <m/>
    <n v="6048.6"/>
    <n v="5443.7400000000007"/>
    <n v="7560.75"/>
    <n v="6426.6374999999998"/>
  </r>
  <r>
    <x v="33"/>
    <s v="A"/>
    <s v="Lanos sedan                                                                                                                Daewoo Lanos sedan                                                                                                    Daewoo Sens sedan"/>
    <s v="1997/5-"/>
    <m/>
    <s v="0822"/>
    <s v="%"/>
    <s v="1100/50"/>
    <m/>
    <m/>
    <n v="4620.6000000000004"/>
    <n v="4158.5400000000009"/>
    <n v="5775.75"/>
    <n v="4909.3874999999998"/>
  </r>
  <r>
    <x v="34"/>
    <s v="A"/>
    <s v="Orlando"/>
    <s v="2011-"/>
    <m/>
    <s v="0834"/>
    <s v="%"/>
    <s v="1500/75 "/>
    <s v="022-007, 030-238"/>
    <m/>
    <n v="6069"/>
    <n v="5462.1"/>
    <n v="7586.25"/>
    <n v="6448.3125"/>
  </r>
  <r>
    <x v="35"/>
    <s v="A"/>
    <s v="Rezzo minivan                                                                                                                     Daewoo Tacuma minivan "/>
    <s v="2004/4- 2008                                                                                                                                                                                                                           2000-2004/4"/>
    <m/>
    <s v="0858"/>
    <m/>
    <s v="1100/50"/>
    <m/>
    <m/>
    <n v="5661"/>
    <n v="5094.9000000000005"/>
    <n v="7076.25"/>
    <n v="6014.8125"/>
  </r>
  <r>
    <x v="36"/>
    <s v="A"/>
    <s v="Trailblaser  (без электрики)"/>
    <s v="2013-"/>
    <m/>
    <s v="8220"/>
    <m/>
    <s v="1700/75"/>
    <s v="022-007"/>
    <m/>
    <n v="7109.4000000000005"/>
    <n v="6398.4600000000009"/>
    <n v="8886.75"/>
    <n v="7553.7375000000002"/>
  </r>
  <r>
    <x v="37"/>
    <s v="F"/>
    <s v="Trailblaser  (без электрики)"/>
    <s v="2013-"/>
    <m/>
    <m/>
    <m/>
    <s v="1700/75"/>
    <s v="022-007"/>
    <s v="Plate LUX"/>
    <n v="11923.800000000001"/>
    <n v="10731.420000000002"/>
    <n v="14904.750000000002"/>
    <n v="12669.0375"/>
  </r>
  <r>
    <x v="0"/>
    <m/>
    <s v="CHRYSLER"/>
    <m/>
    <m/>
    <m/>
    <m/>
    <m/>
    <m/>
    <m/>
    <m/>
    <m/>
    <m/>
    <m/>
  </r>
  <r>
    <x v="38"/>
    <s v="A"/>
    <s v="Grand Voyager 4x4                                                                 Dodge Caravan 4x4 (без электрики)"/>
    <s v="2001/5-2008/1                                                                                                                                                                                                                   2001/4-"/>
    <m/>
    <s v="0135"/>
    <m/>
    <s v="1500/75"/>
    <s v="022-007"/>
    <m/>
    <n v="6670.8"/>
    <n v="6003.72"/>
    <n v="8338.5"/>
    <n v="7087.7249999999995"/>
  </r>
  <r>
    <x v="0"/>
    <m/>
    <s v="CHERY"/>
    <m/>
    <m/>
    <m/>
    <m/>
    <m/>
    <m/>
    <m/>
    <m/>
    <m/>
    <m/>
    <m/>
  </r>
  <r>
    <x v="39"/>
    <s v="A"/>
    <s v="Amulet sedan"/>
    <s v="2006-"/>
    <m/>
    <s v="0165"/>
    <s v="%"/>
    <s v="1500/75"/>
    <m/>
    <m/>
    <n v="4702.2"/>
    <n v="4231.9799999999996"/>
    <n v="5877.75"/>
    <n v="4996.0874999999996"/>
  </r>
  <r>
    <x v="40"/>
    <s v="A"/>
    <s v="Bonus (без электрики)"/>
    <s v="2014-"/>
    <s v="Нов. 2015"/>
    <s v="8173"/>
    <m/>
    <s v="1100/75"/>
    <m/>
    <m/>
    <n v="4610.3999999999996"/>
    <n v="4149.3599999999997"/>
    <n v="5763"/>
    <n v="4898.55"/>
  </r>
  <r>
    <x v="41"/>
    <s v="A"/>
    <s v="Bonus sedan "/>
    <s v="2011/1-"/>
    <m/>
    <s v="0808"/>
    <m/>
    <s v="1180/75"/>
    <m/>
    <m/>
    <n v="4610.3999999999996"/>
    <n v="4149.3599999999997"/>
    <n v="5763"/>
    <n v="4898.55"/>
  </r>
  <r>
    <x v="42"/>
    <s v="A"/>
    <s v="Bonus/Chery Veri HB "/>
    <s v="2011-"/>
    <m/>
    <s v="8829"/>
    <s v=" "/>
    <s v="1180/75"/>
    <m/>
    <m/>
    <n v="4610.3999999999996"/>
    <n v="4149.3599999999997"/>
    <n v="5763"/>
    <n v="4898.55"/>
  </r>
  <r>
    <x v="43"/>
    <s v="A"/>
    <s v="Fora - (Vortex Estina) sedan"/>
    <s v="2006-"/>
    <m/>
    <s v="0212"/>
    <m/>
    <s v="1200/75"/>
    <m/>
    <m/>
    <n v="4651.2"/>
    <n v="4186.08"/>
    <n v="5814"/>
    <n v="4941.8999999999996"/>
  </r>
  <r>
    <x v="44"/>
    <s v="A"/>
    <s v="M11 HB (без электрики)"/>
    <s v="2012-"/>
    <m/>
    <s v="8834"/>
    <m/>
    <s v="1200/75"/>
    <m/>
    <m/>
    <n v="4998"/>
    <n v="4498.2"/>
    <n v="6247.5"/>
    <n v="5310.375"/>
  </r>
  <r>
    <x v="45"/>
    <s v="A"/>
    <s v="Tiggo 4x4                                                                                                                  Toyota RAV 4 4x4  "/>
    <s v="2006-2011                                                                                                                                                                                                                           2000/6-2005 "/>
    <m/>
    <s v="0160"/>
    <m/>
    <s v="1200/80"/>
    <m/>
    <m/>
    <n v="6742.2"/>
    <n v="6067.98"/>
    <n v="8427.75"/>
    <n v="7163.5874999999996"/>
  </r>
  <r>
    <x v="46"/>
    <s v="A"/>
    <s v="Tiggo/Vortex Tingo  (без электрики)"/>
    <s v="2012-2014"/>
    <m/>
    <s v="8837"/>
    <s v=" "/>
    <s v="1200/75"/>
    <m/>
    <m/>
    <n v="5732.4000000000005"/>
    <n v="5159.1600000000008"/>
    <n v="7165.5000000000009"/>
    <n v="6090.6750000000002"/>
  </r>
  <r>
    <x v="47"/>
    <s v="A"/>
    <s v="Tiggo 5  (без электрики)"/>
    <s v="2014-"/>
    <m/>
    <s v="8829"/>
    <s v=" "/>
    <s v="1200/75"/>
    <m/>
    <m/>
    <n v="5732.4000000000005"/>
    <n v="5159.1600000000008"/>
    <n v="7165.5000000000009"/>
    <n v="6090.6750000000002"/>
  </r>
  <r>
    <x v="0"/>
    <m/>
    <s v="CHANGAN"/>
    <m/>
    <m/>
    <m/>
    <m/>
    <m/>
    <m/>
    <m/>
    <m/>
    <m/>
    <m/>
    <m/>
  </r>
  <r>
    <x v="48"/>
    <s v="A"/>
    <s v="Changan CS35 (без электрики)"/>
    <s v="2013-"/>
    <m/>
    <s v="8812"/>
    <m/>
    <s v="1300/75"/>
    <s v="022-007"/>
    <m/>
    <n v="6670.8"/>
    <n v="6003.72"/>
    <n v="8338.5"/>
    <n v="7087.7249999999995"/>
  </r>
  <r>
    <x v="0"/>
    <m/>
    <s v="CITROEN"/>
    <m/>
    <m/>
    <m/>
    <m/>
    <m/>
    <m/>
    <m/>
    <m/>
    <m/>
    <m/>
    <m/>
  </r>
  <r>
    <x v="49"/>
    <s v="A"/>
    <s v="307 / 308  HB                                                                           Citroen C4 HB (без электрики)"/>
    <s v="2001-             2004-2011"/>
    <m/>
    <s v="0854"/>
    <s v="%"/>
    <s v="1200/50"/>
    <s v="022-007"/>
    <m/>
    <n v="6160.8"/>
    <n v="5544.72"/>
    <n v="7701"/>
    <n v="6545.8499999999995"/>
  </r>
  <r>
    <x v="50"/>
    <s v="A"/>
    <s v="Berlingo I minivan, van                                                                                              Peugeot Partner I minivan, van"/>
    <s v="1996-2008"/>
    <m/>
    <s v="0165"/>
    <s v="%"/>
    <s v="1100/75"/>
    <m/>
    <m/>
    <n v="6069"/>
    <n v="5462.1"/>
    <n v="7586.25"/>
    <n v="6448.3125"/>
  </r>
  <r>
    <x v="51"/>
    <s v="A"/>
    <s v="Berlingo II minivan, van                                                                                              Peugeot Partner  II minivan, van   Короткая база (4380мм.)                       (без электрики)"/>
    <s v="2008/05-"/>
    <m/>
    <s v="0867"/>
    <m/>
    <s v="1200/50"/>
    <s v="022-007"/>
    <m/>
    <n v="5395.8"/>
    <n v="4856.22"/>
    <n v="6744.75"/>
    <n v="5733.0374999999995"/>
  </r>
  <r>
    <x v="52"/>
    <s v="A"/>
    <s v="C4 Aircross"/>
    <s v="2010-"/>
    <m/>
    <s v="0873"/>
    <s v="%"/>
    <s v="1400/50 "/>
    <m/>
    <m/>
    <n v="5416.2"/>
    <n v="4874.58"/>
    <n v="6770.25"/>
    <n v="5754.7124999999996"/>
  </r>
  <r>
    <x v="53"/>
    <s v="A"/>
    <s v="C4 HB   (без электрики)"/>
    <s v="2011/1-"/>
    <m/>
    <s v="8879"/>
    <s v="%"/>
    <s v="1100/75"/>
    <s v="022-007"/>
    <m/>
    <n v="5151"/>
    <n v="4635.9000000000005"/>
    <n v="6438.75"/>
    <n v="5472.9375"/>
  </r>
  <r>
    <x v="54"/>
    <s v="A"/>
    <s v="C4 HB I                                             Peugeot 308 HB, 09/07-08/08, 10/2008-_x000a_Peugeot 307 HB, 01-5/05, 6/05-9/07 (series II)"/>
    <s v="2004-2011_x000a_2007-          2001-2007"/>
    <m/>
    <s v="0876"/>
    <s v="%"/>
    <s v="1200/75"/>
    <s v="022-007 для Peugeot 308"/>
    <m/>
    <n v="5365.2"/>
    <n v="4828.68"/>
    <n v="6706.5"/>
    <n v="5700.5249999999996"/>
  </r>
  <r>
    <x v="55"/>
    <s v="A"/>
    <s v="C4 sedan (без электрики)"/>
    <s v="2013-"/>
    <m/>
    <s v="8876"/>
    <m/>
    <s v="1500/75"/>
    <s v="022-007"/>
    <m/>
    <n v="4834.8"/>
    <n v="4351.3200000000006"/>
    <n v="6043.5"/>
    <n v="5136.9749999999995"/>
  </r>
  <r>
    <x v="56"/>
    <s v="C"/>
    <s v="C-Crosser  (без электрики)"/>
    <s v="2007-"/>
    <m/>
    <s v="0255"/>
    <m/>
    <s v="1500/50"/>
    <s v="022-007"/>
    <m/>
    <n v="11964.6"/>
    <n v="10768.140000000001"/>
    <n v="14955.75"/>
    <n v="12712.387499999999"/>
  </r>
  <r>
    <x v="57"/>
    <s v="E"/>
    <s v="C-Crosser  (без электрики)"/>
    <s v="2007-"/>
    <s v="Нов. 2015"/>
    <m/>
    <m/>
    <s v="1500/50"/>
    <s v="022-007"/>
    <m/>
    <n v="7792.8"/>
    <n v="7013.52"/>
    <n v="9741"/>
    <n v="8279.85"/>
  </r>
  <r>
    <x v="58"/>
    <s v="F"/>
    <s v="Jumper III                                                 Fiat Ducato IV, Peugeot Boxer III "/>
    <s v="2006-"/>
    <m/>
    <s v="0049"/>
    <m/>
    <s v="2000/100"/>
    <s v="022-007"/>
    <m/>
    <n v="9500"/>
    <n v="8550"/>
    <n v="11875"/>
    <n v="10093.75"/>
  </r>
  <r>
    <x v="0"/>
    <m/>
    <s v="DAEWOO"/>
    <m/>
    <m/>
    <m/>
    <m/>
    <m/>
    <m/>
    <m/>
    <m/>
    <m/>
    <m/>
    <m/>
  </r>
  <r>
    <x v="59"/>
    <s v="A"/>
    <s v="Chance HB, ZAZ Chance HB"/>
    <s v="2009-"/>
    <m/>
    <s v="0164"/>
    <m/>
    <s v="1000/50"/>
    <m/>
    <m/>
    <n v="4671.6000000000004"/>
    <n v="4204.4400000000005"/>
    <n v="5839.5"/>
    <n v="4963.5749999999998"/>
  </r>
  <r>
    <x v="31"/>
    <s v="A"/>
    <s v="Gentra                                                Nubira sedan                                  Chevrolet Lacetti sedan "/>
    <s v="2013-           2003/6-2012"/>
    <m/>
    <s v="0821"/>
    <m/>
    <s v="1100/75"/>
    <m/>
    <m/>
    <n v="6048.6"/>
    <n v="5443.7400000000007"/>
    <n v="7560.75"/>
    <n v="6426.6374999999998"/>
  </r>
  <r>
    <x v="33"/>
    <s v="A"/>
    <s v="Lanos sedan                                                                                                         SENS sedan                                                                                        Chevrolet Lanos sedan"/>
    <s v="1997/5-"/>
    <m/>
    <s v="0822"/>
    <s v="%"/>
    <s v="1100/50"/>
    <m/>
    <m/>
    <n v="4620.6000000000004"/>
    <n v="4158.5400000000009"/>
    <n v="5775.75"/>
    <n v="4909.3874999999998"/>
  </r>
  <r>
    <x v="60"/>
    <s v="A"/>
    <s v="Matiz HB"/>
    <s v="2001-"/>
    <m/>
    <s v="0181"/>
    <m/>
    <s v="700/50"/>
    <m/>
    <m/>
    <n v="3250"/>
    <n v="2925"/>
    <n v="4062.5"/>
    <n v="3453.125"/>
  </r>
  <r>
    <x v="61"/>
    <s v="A"/>
    <s v="Nexia sedan (рестайлинг 2008)"/>
    <s v="1995-"/>
    <m/>
    <s v="0861"/>
    <m/>
    <s v="1000/50"/>
    <m/>
    <m/>
    <n v="4100"/>
    <n v="3690"/>
    <n v="5125"/>
    <n v="4356.25"/>
  </r>
  <r>
    <x v="30"/>
    <s v="A"/>
    <s v="Nubira HB                                                                                       Chevrolet Lacetti HB"/>
    <s v="2004-2012"/>
    <m/>
    <s v="0803"/>
    <s v="%"/>
    <s v="1200/75"/>
    <m/>
    <m/>
    <n v="6048.6"/>
    <n v="5443.7400000000007"/>
    <n v="7560.75"/>
    <n v="6426.6374999999998"/>
  </r>
  <r>
    <x v="35"/>
    <s v="A"/>
    <s v="Tacuma minivan                                                                                      Chevrolet Rezzo minivan"/>
    <s v="2000-2004/4                                                                                                                                                                                                                       2004/4-2008"/>
    <m/>
    <s v="0858"/>
    <m/>
    <s v="1100/50"/>
    <m/>
    <m/>
    <n v="5661"/>
    <n v="5094.9000000000005"/>
    <n v="7076.25"/>
    <n v="6014.8125"/>
  </r>
  <r>
    <x v="0"/>
    <m/>
    <s v="DODGE"/>
    <m/>
    <m/>
    <m/>
    <m/>
    <m/>
    <m/>
    <m/>
    <m/>
    <m/>
    <m/>
    <m/>
  </r>
  <r>
    <x v="38"/>
    <s v="A"/>
    <s v="Caravan 4x4                                                                                             Chrysler Grand Voyager 4x4 (без электрики)"/>
    <s v="   2001/4-                                                                                                                                                                                                                2001/5-2008/1"/>
    <m/>
    <s v="0135"/>
    <m/>
    <s v="1500/75"/>
    <s v="022-007"/>
    <m/>
    <n v="6670.8"/>
    <n v="6003.72"/>
    <n v="8338.5"/>
    <n v="7087.7249999999995"/>
  </r>
  <r>
    <x v="0"/>
    <m/>
    <s v="FAW"/>
    <m/>
    <m/>
    <m/>
    <m/>
    <m/>
    <m/>
    <m/>
    <m/>
    <m/>
    <m/>
    <m/>
  </r>
  <r>
    <x v="62"/>
    <s v="A"/>
    <s v="Besturn B50 (без электрики)"/>
    <s v="2012-"/>
    <m/>
    <s v="8187"/>
    <s v="%"/>
    <s v="1200/75"/>
    <m/>
    <m/>
    <n v="4855.2"/>
    <n v="4122"/>
    <n v="5725"/>
    <n v="4866.25"/>
  </r>
  <r>
    <x v="63"/>
    <s v="A"/>
    <s v="V5 (без электрики)"/>
    <n v="2013"/>
    <m/>
    <s v="8491"/>
    <m/>
    <s v="1100/75"/>
    <m/>
    <m/>
    <n v="4360"/>
    <n v="4122"/>
    <n v="5725"/>
    <n v="4866.25"/>
  </r>
  <r>
    <x v="0"/>
    <m/>
    <s v="FIAT"/>
    <m/>
    <m/>
    <m/>
    <m/>
    <m/>
    <m/>
    <m/>
    <m/>
    <m/>
    <m/>
    <m/>
  </r>
  <r>
    <x v="64"/>
    <s v="A"/>
    <s v="Albea sedan"/>
    <s v="2003/4-2011"/>
    <m/>
    <s v="0216"/>
    <s v="%"/>
    <s v="1000/70"/>
    <m/>
    <m/>
    <n v="5300"/>
    <n v="4770"/>
    <n v="6625"/>
    <n v="5631.25"/>
  </r>
  <r>
    <x v="65"/>
    <s v="A"/>
    <s v="Doblo minivan, van "/>
    <s v="2001-"/>
    <m/>
    <s v="0149"/>
    <s v="%"/>
    <s v="1300/50"/>
    <m/>
    <m/>
    <n v="4906.2"/>
    <n v="4415.58"/>
    <n v="6132.75"/>
    <n v="5212.8374999999996"/>
  </r>
  <r>
    <x v="66"/>
    <s v="A"/>
    <s v="Ducato III (van) - Sollers 44 339,10 (без электрики)"/>
    <s v="2006-"/>
    <m/>
    <s v="0174"/>
    <m/>
    <s v="1500/75"/>
    <s v="022-007"/>
    <m/>
    <n v="6568.8"/>
    <n v="5911.92"/>
    <n v="8211"/>
    <n v="6979.3499999999995"/>
  </r>
  <r>
    <x v="58"/>
    <s v="F"/>
    <s v="Ducato IV                                          Peugeot Boxer III, Citroen Jumper III"/>
    <s v="2006-"/>
    <m/>
    <s v="0049"/>
    <m/>
    <s v="2000/100"/>
    <s v="022-007"/>
    <m/>
    <n v="9500"/>
    <n v="8550"/>
    <n v="11875"/>
    <n v="10093.75"/>
  </r>
  <r>
    <x v="67"/>
    <s v="A"/>
    <s v="Sedici 4x4                                                                                                                          Suzuki SX 4 APV"/>
    <s v="2006-                                                                                                                                                                                  2006-"/>
    <m/>
    <s v="0832"/>
    <s v="%"/>
    <s v="1200/75"/>
    <m/>
    <m/>
    <n v="6762.6"/>
    <n v="6086.34"/>
    <n v="8453.25"/>
    <n v="7185.2624999999998"/>
  </r>
  <r>
    <x v="0"/>
    <m/>
    <s v="FORD"/>
    <m/>
    <m/>
    <m/>
    <m/>
    <m/>
    <m/>
    <m/>
    <m/>
    <m/>
    <m/>
    <m/>
  </r>
  <r>
    <x v="68"/>
    <s v="A"/>
    <s v="Ecosport 2WD (без электрики)"/>
    <s v="2014-"/>
    <m/>
    <s v="8173"/>
    <m/>
    <s v="1200/75"/>
    <s v="022-007"/>
    <m/>
    <n v="5273.4000000000005"/>
    <n v="4746.0600000000004"/>
    <n v="6591.7500000000009"/>
    <n v="5602.9875000000002"/>
  </r>
  <r>
    <x v="69"/>
    <s v="A"/>
    <s v="Ecosport 2WD, 4WD (без электрики)"/>
    <s v="2014-"/>
    <m/>
    <s v="8173"/>
    <m/>
    <s v="1200/75"/>
    <s v="022-007"/>
    <m/>
    <n v="5436.6"/>
    <n v="4892.9400000000005"/>
    <n v="6795.75"/>
    <n v="5776.3874999999998"/>
  </r>
  <r>
    <x v="70"/>
    <s v="F"/>
    <s v="Edge  (без электрики)"/>
    <s v="2014-"/>
    <m/>
    <s v="F"/>
    <m/>
    <s v="1600/120"/>
    <s v="022-007"/>
    <m/>
    <n v="7221.6"/>
    <n v="6499.4400000000005"/>
    <n v="9027"/>
    <n v="7672.95"/>
  </r>
  <r>
    <x v="71"/>
    <s v="F"/>
    <s v="Edge  (без электрики)"/>
    <s v="2014-"/>
    <m/>
    <s v="F"/>
    <m/>
    <s v="1600/120"/>
    <s v="022-007"/>
    <s v="Plate LUX"/>
    <n v="11923.800000000001"/>
    <n v="10731.420000000002"/>
    <n v="14904.750000000002"/>
    <n v="12669.0375"/>
  </r>
  <r>
    <x v="72"/>
    <s v="A"/>
    <s v="Escape 4x4"/>
    <s v="2008/8-"/>
    <m/>
    <s v="0837"/>
    <m/>
    <s v="1500/75"/>
    <m/>
    <m/>
    <n v="6191.4000000000005"/>
    <n v="5572.26"/>
    <n v="7739.2500000000009"/>
    <n v="6578.3625000000002"/>
  </r>
  <r>
    <x v="73"/>
    <s v="A"/>
    <s v="Explorer"/>
    <s v="2011/06-"/>
    <m/>
    <s v="8160"/>
    <s v="%"/>
    <s v="1500/75"/>
    <m/>
    <m/>
    <n v="7252.2"/>
    <n v="6526.98"/>
    <n v="9065.25"/>
    <n v="7705.4624999999996"/>
  </r>
  <r>
    <x v="74"/>
    <s v="A"/>
    <s v="Explorer"/>
    <s v="2015/11-"/>
    <s v="Нов. 2016"/>
    <s v="8160"/>
    <m/>
    <s v="1900/100"/>
    <s v="022-007"/>
    <m/>
    <n v="7344"/>
    <n v="6609.6"/>
    <n v="9180"/>
    <n v="7803"/>
  </r>
  <r>
    <x v="75"/>
    <s v="A"/>
    <s v="Fiesta  HB (без электрики) "/>
    <s v="2008-"/>
    <m/>
    <m/>
    <s v="%"/>
    <s v="2300/92"/>
    <m/>
    <m/>
    <n v="6089.4000000000005"/>
    <n v="5373"/>
    <n v="7460"/>
    <n v="6341"/>
  </r>
  <r>
    <x v="76"/>
    <s v="A"/>
    <s v="Fiesta HB                                                                                                    Fusion minivan"/>
    <s v="2002/8-2008   2002/8-2012"/>
    <m/>
    <s v="0187"/>
    <s v="%"/>
    <s v="1150/50"/>
    <m/>
    <m/>
    <n v="6058.8"/>
    <n v="5452.92"/>
    <n v="7573.5"/>
    <n v="6437.4749999999995"/>
  </r>
  <r>
    <x v="77"/>
    <s v="A"/>
    <s v="Fiesta HB, sedan"/>
    <s v="2015-"/>
    <s v="Нов. 2015"/>
    <s v="8186"/>
    <s v="%"/>
    <s v="1200/75"/>
    <m/>
    <m/>
    <n v="4182"/>
    <n v="3763.8"/>
    <n v="5227.5"/>
    <n v="4443.375"/>
  </r>
  <r>
    <x v="78"/>
    <s v="A"/>
    <s v="Focus I HB, sedan "/>
    <s v="1998-2005"/>
    <m/>
    <s v="0185"/>
    <s v="%"/>
    <s v="1000/75"/>
    <m/>
    <m/>
    <n v="6038.4000000000005"/>
    <n v="5434.56"/>
    <n v="7548.0000000000009"/>
    <n v="6415.8"/>
  </r>
  <r>
    <x v="79"/>
    <s v="A"/>
    <s v="Focus II sedan"/>
    <s v="2005/2-2011"/>
    <m/>
    <s v="0829"/>
    <m/>
    <s v="1000/75"/>
    <m/>
    <m/>
    <n v="5151"/>
    <n v="4635.9000000000005"/>
    <n v="6438.75"/>
    <n v="5472.9375"/>
  </r>
  <r>
    <x v="80"/>
    <s v="A"/>
    <s v="Focus II wagon  "/>
    <s v="2005/2-2011"/>
    <m/>
    <s v="0853"/>
    <s v="%"/>
    <s v="1300/50"/>
    <m/>
    <m/>
    <n v="6470"/>
    <n v="5823"/>
    <n v="8087.5"/>
    <n v="6874.375"/>
  </r>
  <r>
    <x v="81"/>
    <s v="A"/>
    <s v="Focus III HB 2011-…_x000a_Focus II HB 2004-2010_x000a_C-Max 2004-                                                                Grand C-Max 2011-                                                  _x000a_Mazda 3 HB 2009-2013_x000a_Mazda 3 sedan 03-09"/>
    <s v="2011-"/>
    <m/>
    <s v="0875"/>
    <s v="%"/>
    <s v="1200/75 "/>
    <s v="022-007"/>
    <m/>
    <n v="6099.6"/>
    <n v="5489.64"/>
    <n v="7624.5"/>
    <n v="6480.8249999999998"/>
  </r>
  <r>
    <x v="82"/>
    <s v="A"/>
    <s v="Focus III sedan"/>
    <s v="2011-"/>
    <m/>
    <s v="0828"/>
    <m/>
    <s v="1200/75 "/>
    <m/>
    <m/>
    <n v="5844.6"/>
    <n v="5260.14"/>
    <n v="7305.75"/>
    <n v="6209.8874999999998"/>
  </r>
  <r>
    <x v="83"/>
    <s v="A"/>
    <s v="Focus III SW"/>
    <s v="2011/03-"/>
    <m/>
    <s v="8808"/>
    <s v="%"/>
    <s v="1200/75"/>
    <m/>
    <m/>
    <n v="5967"/>
    <n v="5370.3"/>
    <n v="7458.75"/>
    <n v="6339.9375"/>
  </r>
  <r>
    <x v="84"/>
    <s v="A"/>
    <s v="Galaxy minivan    "/>
    <s v="1995-2000/4"/>
    <m/>
    <s v="0186"/>
    <s v="%"/>
    <s v="1500/75"/>
    <m/>
    <m/>
    <n v="6548.4000000000005"/>
    <n v="5893.56"/>
    <n v="8185.5000000000009"/>
    <n v="6957.6750000000002"/>
  </r>
  <r>
    <x v="85"/>
    <s v="A"/>
    <s v="Galaxy minivan (без электрики)"/>
    <s v="2006-"/>
    <m/>
    <s v="0840"/>
    <s v="%"/>
    <s v="1500/75"/>
    <s v="022-007"/>
    <m/>
    <n v="5834.4000000000005"/>
    <n v="5250.9600000000009"/>
    <n v="7293.0000000000009"/>
    <n v="6199.05"/>
  </r>
  <r>
    <x v="86"/>
    <s v="A"/>
    <s v="Kuga 4x4 (без электрики)"/>
    <s v="2008-2012"/>
    <m/>
    <s v="0863"/>
    <m/>
    <s v="1300/60"/>
    <s v="022-007"/>
    <m/>
    <n v="6201.6"/>
    <n v="5581.4400000000005"/>
    <n v="7752"/>
    <n v="6589.2"/>
  </r>
  <r>
    <x v="87"/>
    <s v="A"/>
    <s v="Kuga 4x4 исключая авто с функцией сободные руки (без электрики)"/>
    <s v="2013-"/>
    <m/>
    <s v="8826"/>
    <m/>
    <s v="2000/100"/>
    <s v="022-007"/>
    <m/>
    <n v="5967"/>
    <n v="5370.3"/>
    <n v="7458.75"/>
    <n v="6339.9375"/>
  </r>
  <r>
    <x v="88"/>
    <s v="A"/>
    <s v="Maverick 4x4                                                                             Mazda Tribute 4x4"/>
    <s v="2001/9-2003/1                                                                                                                                                                                                             2001-2003"/>
    <m/>
    <s v="0188"/>
    <s v="%"/>
    <s v="1500/90"/>
    <m/>
    <m/>
    <n v="7027.8"/>
    <n v="6325.02"/>
    <n v="8784.75"/>
    <n v="7467.0374999999995"/>
  </r>
  <r>
    <x v="89"/>
    <s v="A"/>
    <s v="Maverick 4x4_x000a_Mazda Tribute 4x4"/>
    <s v="2004-_x000a_2004-2005"/>
    <m/>
    <s v="0804"/>
    <s v="%"/>
    <s v="1500/75"/>
    <m/>
    <m/>
    <n v="7303.2"/>
    <n v="6572.88"/>
    <n v="9129"/>
    <n v="7759.65"/>
  </r>
  <r>
    <x v="90"/>
    <s v="A"/>
    <s v="Mondeo sedan (без электрики)"/>
    <s v="2007/3-2015"/>
    <m/>
    <s v="0843"/>
    <m/>
    <s v="1200/50"/>
    <s v="022-007"/>
    <m/>
    <n v="5334.6"/>
    <n v="4801.1400000000003"/>
    <n v="6668.25"/>
    <n v="5668.0124999999998"/>
  </r>
  <r>
    <x v="91"/>
    <s v="F"/>
    <s v="Ranger (Limited, Wildtrak) со ступенькой                 (без электрики)"/>
    <s v="2011-"/>
    <m/>
    <s v="0049"/>
    <m/>
    <s v="1500/100"/>
    <s v="022-007"/>
    <m/>
    <n v="7792.8"/>
    <n v="7013.52"/>
    <n v="9741"/>
    <n v="8279.85"/>
  </r>
  <r>
    <x v="92"/>
    <s v="F"/>
    <s v="Ranger 4x4                                                                               Mazda B 2500 pick-up                                                                                                                                "/>
    <s v="1999/10-2007                                                                                                                                                                                                    1999-2006                                                                                                                                                                                                              "/>
    <m/>
    <s v="0049"/>
    <m/>
    <s v="2000/85"/>
    <m/>
    <m/>
    <n v="9300"/>
    <n v="8370"/>
    <n v="11625"/>
    <n v="9881.25"/>
  </r>
  <r>
    <x v="93"/>
    <s v="F"/>
    <s v="Ranger 4x4                                                                            Mazda BT 50 truck                                                                                                                                        "/>
    <s v="2007-2011_x000a_2006-2011  "/>
    <m/>
    <s v="0049"/>
    <m/>
    <s v="2000/100"/>
    <m/>
    <m/>
    <n v="8250"/>
    <n v="7425"/>
    <n v="10312.5"/>
    <n v="8765.625"/>
  </r>
  <r>
    <x v="94"/>
    <s v="F"/>
    <s v="Ranger XL  и XLT (пр-во с 2013) без ступеньки        (без электрики)"/>
    <s v="2012-"/>
    <m/>
    <s v="0049"/>
    <m/>
    <s v="2000/100"/>
    <s v="022-007"/>
    <m/>
    <n v="7854"/>
    <n v="7068.6"/>
    <n v="9817.5"/>
    <n v="8344.875"/>
  </r>
  <r>
    <x v="95"/>
    <s v="A"/>
    <s v="S-Max minivan (без электрики)"/>
    <s v="2006-"/>
    <m/>
    <s v="0860"/>
    <s v="%"/>
    <s v="1200/50"/>
    <s v="022-007"/>
    <m/>
    <n v="5865"/>
    <n v="5278.5"/>
    <n v="7331.25"/>
    <n v="6231.5625"/>
  </r>
  <r>
    <x v="96"/>
    <s v="A"/>
    <s v="Tourneo Connect minivan, van                                                                                             Transit Connect minivan, van"/>
    <s v="2002-"/>
    <m/>
    <s v="0174"/>
    <m/>
    <s v="1200/50"/>
    <m/>
    <m/>
    <n v="6242.4000000000005"/>
    <n v="5618.1600000000008"/>
    <n v="7803.0000000000009"/>
    <n v="6632.55"/>
  </r>
  <r>
    <x v="97"/>
    <s v="A"/>
    <s v="Tourneo Custom  (без электрики)"/>
    <s v="2014-"/>
    <m/>
    <s v="8186"/>
    <m/>
    <s v="1500/75"/>
    <s v="022-007"/>
    <m/>
    <n v="5997.6"/>
    <n v="5397.84"/>
    <n v="7497"/>
    <n v="6372.45"/>
  </r>
  <r>
    <x v="98"/>
    <s v="F"/>
    <s v="Transit Chassis Cab (без электрики)"/>
    <s v="2012-"/>
    <m/>
    <s v="0049"/>
    <m/>
    <s v="1500/100"/>
    <m/>
    <m/>
    <n v="6640.2"/>
    <n v="5976.18"/>
    <n v="8300.25"/>
    <n v="7055.2124999999996"/>
  </r>
  <r>
    <x v="99"/>
    <s v="F"/>
    <s v="Transit со ступенькой"/>
    <s v="2000-2014"/>
    <m/>
    <s v="0049"/>
    <m/>
    <s v="2500/100"/>
    <m/>
    <m/>
    <n v="7650"/>
    <n v="6885"/>
    <n v="9562.5"/>
    <n v="8128.125"/>
  </r>
  <r>
    <x v="100"/>
    <s v="F"/>
    <s v="Transit без ступеньки (без электрики)"/>
    <s v="2000-2014"/>
    <m/>
    <s v="0049"/>
    <m/>
    <s v="2000/120"/>
    <m/>
    <m/>
    <n v="6100"/>
    <n v="5490"/>
    <n v="7625"/>
    <n v="6481.25"/>
  </r>
  <r>
    <x v="101"/>
    <s v="F"/>
    <s v="Transit VAN (без электрики) + для удлиненной базы"/>
    <s v="2014-"/>
    <s v="Нов. 2015"/>
    <s v="0049"/>
    <m/>
    <s v="2500/120"/>
    <s v="022-007"/>
    <m/>
    <n v="9445.2000000000007"/>
    <n v="5346"/>
    <n v="7425"/>
    <n v="6311.25"/>
  </r>
  <r>
    <x v="0"/>
    <m/>
    <s v="GEELY"/>
    <m/>
    <m/>
    <m/>
    <m/>
    <m/>
    <m/>
    <m/>
    <m/>
    <m/>
    <m/>
    <m/>
  </r>
  <r>
    <x v="102"/>
    <s v="A"/>
    <s v="Emgrand sedan (без электрики)"/>
    <s v="2012-"/>
    <m/>
    <s v="8876"/>
    <s v="%"/>
    <s v="1200/75"/>
    <m/>
    <m/>
    <n v="4447.2"/>
    <n v="4002.48"/>
    <n v="5559"/>
    <n v="4725.1499999999996"/>
  </r>
  <r>
    <x v="103"/>
    <s v="F"/>
    <s v="Emgrand X7 (без электрики)"/>
    <s v="2013-2016/4"/>
    <m/>
    <s v="F"/>
    <m/>
    <s v="1500/75"/>
    <s v="022-007"/>
    <m/>
    <n v="6700"/>
    <n v="6030"/>
    <n v="8375"/>
    <n v="7118.75"/>
  </r>
  <r>
    <x v="104"/>
    <s v="F"/>
    <s v="Emgrand X7 (без электрики)"/>
    <s v="2016-"/>
    <m/>
    <s v="F"/>
    <m/>
    <s v="1500/75"/>
    <s v="022-007"/>
    <m/>
    <n v="6630"/>
    <n v="5967"/>
    <n v="8287.5"/>
    <n v="7044.375"/>
  </r>
  <r>
    <x v="105"/>
    <s v="A"/>
    <s v="GC 6"/>
    <s v="2014-"/>
    <m/>
    <s v="0220"/>
    <m/>
    <s v="1100/50"/>
    <m/>
    <m/>
    <n v="4080"/>
    <n v="3672"/>
    <n v="5100"/>
    <n v="4335"/>
  </r>
  <r>
    <x v="106"/>
    <s v="A"/>
    <s v="MK cross (без электрики)"/>
    <s v="2006-"/>
    <m/>
    <s v="0220"/>
    <m/>
    <s v="1100/75"/>
    <m/>
    <m/>
    <n v="4182"/>
    <n v="3763.8"/>
    <n v="5227.5"/>
    <n v="4443.375"/>
  </r>
  <r>
    <x v="105"/>
    <s v="A"/>
    <s v="MK sedan"/>
    <s v="2006-"/>
    <m/>
    <s v="0220"/>
    <m/>
    <s v="1100/50"/>
    <m/>
    <m/>
    <n v="4080"/>
    <n v="3672"/>
    <n v="5100"/>
    <n v="4335"/>
  </r>
  <r>
    <x v="0"/>
    <m/>
    <s v="GREAT WALL"/>
    <m/>
    <m/>
    <m/>
    <m/>
    <m/>
    <m/>
    <m/>
    <m/>
    <m/>
    <m/>
    <m/>
  </r>
  <r>
    <x v="107"/>
    <s v="A"/>
    <s v="Hover 4x4           "/>
    <s v="2003-2009"/>
    <m/>
    <s v="0804"/>
    <m/>
    <s v="1500/75"/>
    <m/>
    <m/>
    <n v="7017.6"/>
    <n v="6315.84"/>
    <n v="8772"/>
    <n v="7456.2"/>
  </r>
  <r>
    <x v="108"/>
    <s v="A"/>
    <s v="Hover 3 4x4                                                 Hover 5 4x4"/>
    <s v="2009-                   2011-"/>
    <m/>
    <s v="0804"/>
    <m/>
    <s v="1500/75"/>
    <m/>
    <m/>
    <n v="6874.8"/>
    <n v="6187.3200000000006"/>
    <n v="8593.5"/>
    <n v="7304.4749999999995"/>
  </r>
  <r>
    <x v="109"/>
    <s v="A"/>
    <s v="Hover H6 (без электрики)"/>
    <s v="2013-"/>
    <m/>
    <s v="8867"/>
    <m/>
    <s v="1500/75"/>
    <s v="022-007"/>
    <m/>
    <n v="7150.2"/>
    <n v="6435.18"/>
    <n v="8937.75"/>
    <n v="7597.0874999999996"/>
  </r>
  <r>
    <x v="110"/>
    <s v="A"/>
    <s v="Hover M2  (без электрики)"/>
    <s v="2013-"/>
    <m/>
    <s v="8828"/>
    <m/>
    <s v="1200/75"/>
    <m/>
    <m/>
    <n v="6874.8"/>
    <n v="6187.3200000000006"/>
    <n v="8593.5"/>
    <n v="7304.4749999999995"/>
  </r>
  <r>
    <x v="111"/>
    <s v="A"/>
    <s v="Hover M4 (без электрики)"/>
    <s v="2013-"/>
    <m/>
    <m/>
    <m/>
    <m/>
    <m/>
    <m/>
    <n v="6874.8"/>
    <n v="6187.3200000000006"/>
    <n v="8593.5"/>
    <n v="7304.4749999999995"/>
  </r>
  <r>
    <x v="112"/>
    <s v="A"/>
    <s v="Safe 4x4 "/>
    <s v="2005-"/>
    <m/>
    <s v="0159"/>
    <m/>
    <s v="1500/75"/>
    <m/>
    <m/>
    <n v="6874.8"/>
    <n v="6187.3200000000006"/>
    <n v="8593.5"/>
    <n v="7304.4749999999995"/>
  </r>
  <r>
    <x v="113"/>
    <s v="F"/>
    <s v="Wingle 5 (без электрики)"/>
    <s v="2013-"/>
    <m/>
    <s v="0049"/>
    <m/>
    <s v="2000/75"/>
    <m/>
    <m/>
    <n v="5620.2"/>
    <n v="5058.18"/>
    <n v="7025.25"/>
    <n v="5971.4624999999996"/>
  </r>
  <r>
    <x v="0"/>
    <m/>
    <s v="HAIMA"/>
    <m/>
    <m/>
    <m/>
    <m/>
    <m/>
    <m/>
    <m/>
    <m/>
    <m/>
    <m/>
    <m/>
  </r>
  <r>
    <x v="114"/>
    <s v="A"/>
    <s v="Haima 7 (без электрики)"/>
    <s v="2014-"/>
    <m/>
    <s v="8829"/>
    <m/>
    <s v="1500/75"/>
    <m/>
    <m/>
    <n v="6864.6"/>
    <n v="6178.14"/>
    <n v="8580.75"/>
    <n v="7293.6374999999998"/>
  </r>
  <r>
    <x v="0"/>
    <m/>
    <s v="HONDA"/>
    <m/>
    <m/>
    <m/>
    <m/>
    <m/>
    <m/>
    <m/>
    <m/>
    <m/>
    <m/>
    <m/>
  </r>
  <r>
    <x v="115"/>
    <s v="A"/>
    <s v="CR-V 4x4"/>
    <s v="1997-2002/2"/>
    <m/>
    <s v="0140"/>
    <s v="%"/>
    <s v="1500/75"/>
    <m/>
    <m/>
    <n v="6313.8"/>
    <n v="5682.42"/>
    <n v="7892.25"/>
    <n v="6708.4124999999995"/>
  </r>
  <r>
    <x v="116"/>
    <s v="A"/>
    <s v="CR-V 4x4"/>
    <s v="2002/3-2006"/>
    <m/>
    <s v="0181"/>
    <m/>
    <s v="1400/50"/>
    <m/>
    <m/>
    <n v="7558.2"/>
    <n v="6802.38"/>
    <n v="9447.75"/>
    <n v="8030.5874999999996"/>
  </r>
  <r>
    <x v="117"/>
    <s v="A"/>
    <s v="CR-V 4x4"/>
    <s v="2007-11.2012"/>
    <m/>
    <s v="0843"/>
    <s v="%"/>
    <s v="1500/75"/>
    <m/>
    <m/>
    <n v="7588.8"/>
    <n v="6829.92"/>
    <n v="9486"/>
    <n v="8063.0999999999995"/>
  </r>
  <r>
    <x v="118"/>
    <s v="A"/>
    <s v="CR-V 2,0; 2,4; 4x4 (без электрики)"/>
    <s v="2012-"/>
    <m/>
    <s v="8882"/>
    <s v="%"/>
    <s v="1500/75"/>
    <s v="022-007"/>
    <m/>
    <n v="7588.8"/>
    <n v="6829.92"/>
    <n v="9486"/>
    <n v="8063.0999999999995"/>
  </r>
  <r>
    <x v="119"/>
    <s v="A"/>
    <s v="HR-V 4x4"/>
    <s v="1999-2006"/>
    <m/>
    <s v="0410"/>
    <s v="%"/>
    <s v="1200/75"/>
    <m/>
    <m/>
    <n v="6250"/>
    <n v="5625"/>
    <n v="7812.5"/>
    <n v="6640.625"/>
  </r>
  <r>
    <x v="0"/>
    <m/>
    <s v="HYUNDAI"/>
    <m/>
    <m/>
    <m/>
    <m/>
    <m/>
    <m/>
    <m/>
    <m/>
    <m/>
    <m/>
    <m/>
  </r>
  <r>
    <x v="120"/>
    <s v="A"/>
    <s v=" IX35 4x4"/>
    <s v="2010-"/>
    <m/>
    <s v="0814"/>
    <m/>
    <s v="1500/75"/>
    <m/>
    <m/>
    <n v="7170.6"/>
    <n v="6453.5400000000009"/>
    <n v="8963.25"/>
    <n v="7618.7624999999998"/>
  </r>
  <r>
    <x v="121"/>
    <s v="A"/>
    <s v=" IX55 4х4"/>
    <s v="2009-"/>
    <m/>
    <s v="0186"/>
    <s v="%"/>
    <s v="1500/75"/>
    <m/>
    <m/>
    <n v="7588.8"/>
    <n v="6829.92"/>
    <n v="9486"/>
    <n v="8063.0999999999995"/>
  </r>
  <r>
    <x v="122"/>
    <s v="A"/>
    <s v="Accent HB, sedan "/>
    <s v="1999/8-"/>
    <m/>
    <s v="0208"/>
    <m/>
    <s v="1000/75"/>
    <m/>
    <m/>
    <n v="4090.2000000000003"/>
    <n v="3681.1800000000003"/>
    <n v="5112.75"/>
    <n v="4345.8374999999996"/>
  </r>
  <r>
    <x v="123"/>
    <s v="A"/>
    <s v="Elantra (без электрики) рестайлинг"/>
    <s v="2014-"/>
    <m/>
    <s v="8220"/>
    <s v="%"/>
    <s v="1250/75"/>
    <s v="022-007"/>
    <m/>
    <n v="5263.2"/>
    <n v="4736.88"/>
    <n v="6579"/>
    <n v="5592.15"/>
  </r>
  <r>
    <x v="124"/>
    <s v="A"/>
    <s v="Elantra HB, sedan ( Tagaz )"/>
    <s v="2000/8-2007"/>
    <m/>
    <s v="0814"/>
    <s v="%"/>
    <s v="1400/65"/>
    <m/>
    <m/>
    <n v="5344.8"/>
    <n v="4810.3200000000006"/>
    <n v="6681"/>
    <n v="5678.8499999999995"/>
  </r>
  <r>
    <x v="125"/>
    <s v="A"/>
    <s v="Elantra IV sedan"/>
    <s v="2007-2012"/>
    <m/>
    <s v="0212"/>
    <s v="%"/>
    <s v="1100/50"/>
    <m/>
    <m/>
    <n v="6048.6"/>
    <n v="5443.7400000000007"/>
    <n v="7560.75"/>
    <n v="6426.6374999999998"/>
  </r>
  <r>
    <x v="126"/>
    <s v="A"/>
    <s v="Getz HB"/>
    <s v="2002/8-2005/10"/>
    <m/>
    <s v="0216"/>
    <s v="%"/>
    <s v="1000/50"/>
    <m/>
    <m/>
    <n v="4926.6000000000004"/>
    <n v="4433.9400000000005"/>
    <n v="6158.25"/>
    <n v="5234.5124999999998"/>
  </r>
  <r>
    <x v="127"/>
    <s v="A"/>
    <s v="Getz HB"/>
    <s v="2005-2011"/>
    <m/>
    <s v="0835"/>
    <s v="%"/>
    <s v="1100/50"/>
    <m/>
    <m/>
    <n v="5640.6"/>
    <n v="5076.5400000000009"/>
    <n v="7050.75"/>
    <n v="5993.1374999999998"/>
  </r>
  <r>
    <x v="128"/>
    <s v="A"/>
    <s v="H 200 minibus 4x4"/>
    <s v="1997-2006"/>
    <s v="Распродажа остатков"/>
    <s v="0187"/>
    <m/>
    <s v="1500/75"/>
    <m/>
    <m/>
    <n v="5324.4000000000005"/>
    <n v="4791.9600000000009"/>
    <n v="6655.5000000000009"/>
    <n v="5657.1750000000002"/>
  </r>
  <r>
    <x v="129"/>
    <s v="A"/>
    <s v="H1  (без электрики)"/>
    <s v="2008/1-"/>
    <m/>
    <s v="8878"/>
    <s v="%"/>
    <s v="1800/100"/>
    <s v="022-007"/>
    <m/>
    <n v="7100"/>
    <n v="6390"/>
    <n v="8875"/>
    <n v="7543.75"/>
  </r>
  <r>
    <x v="130"/>
    <s v="A"/>
    <s v="I20 HB"/>
    <s v="2009-2013"/>
    <s v="Распродажа остатков"/>
    <s v="0176"/>
    <m/>
    <s v="1100/50"/>
    <m/>
    <m/>
    <n v="3631.2000000000003"/>
    <n v="3268.0800000000004"/>
    <n v="4539"/>
    <n v="3858.15"/>
  </r>
  <r>
    <x v="131"/>
    <s v="A"/>
    <s v="I30 HB                                                                                                Kia Ceed HB"/>
    <s v="2007-2012"/>
    <m/>
    <s v="0854"/>
    <s v="%"/>
    <s v="1200/75"/>
    <m/>
    <m/>
    <n v="6048.6"/>
    <n v="5443.7400000000007"/>
    <n v="7560.75"/>
    <n v="6426.6374999999998"/>
  </r>
  <r>
    <x v="132"/>
    <s v="A"/>
    <s v="i30 HB                                                     KIA Ceed HB (без электрики)                    "/>
    <s v="2012-"/>
    <m/>
    <s v="8880"/>
    <s v="%"/>
    <s v="1500/75"/>
    <s v="022-007"/>
    <m/>
    <n v="5263.2"/>
    <n v="4736.88"/>
    <n v="6579"/>
    <n v="5592.15"/>
  </r>
  <r>
    <x v="133"/>
    <s v="A"/>
    <s v="i30 SW                                                       Kia Ceed Sporty Wagon   (без электрики)"/>
    <s v="2012-"/>
    <m/>
    <s v="8181"/>
    <s v="%"/>
    <s v="1500/75"/>
    <s v="022-007"/>
    <m/>
    <n v="4406.3999999999996"/>
    <n v="3965.7599999999998"/>
    <n v="5508"/>
    <n v="4681.8"/>
  </r>
  <r>
    <x v="134"/>
    <s v="A"/>
    <s v="KJ Tager 4x4 ( Tagaz ) "/>
    <s v="2006-"/>
    <m/>
    <s v="0181"/>
    <m/>
    <s v="1500/50"/>
    <m/>
    <m/>
    <n v="5946.6"/>
    <n v="5351.9400000000005"/>
    <n v="7433.25"/>
    <n v="6318.2624999999998"/>
  </r>
  <r>
    <x v="135"/>
    <s v="A"/>
    <s v="Matrix minivan"/>
    <s v="2001-2008"/>
    <m/>
    <s v="0840"/>
    <m/>
    <s v="1200/50"/>
    <m/>
    <m/>
    <n v="5895.6"/>
    <n v="5306.0400000000009"/>
    <n v="7369.5"/>
    <n v="6264.0749999999998"/>
  </r>
  <r>
    <x v="136"/>
    <s v="A"/>
    <s v="Road Partner 4x4 ( Tagaz ) SUV"/>
    <s v="2008-"/>
    <m/>
    <s v="0701"/>
    <m/>
    <s v="1500/50"/>
    <m/>
    <m/>
    <n v="5936.4000000000005"/>
    <n v="5342.76"/>
    <n v="7420.5000000000009"/>
    <n v="6307.4250000000002"/>
  </r>
  <r>
    <x v="137"/>
    <s v="V"/>
    <s v="Santa Fe"/>
    <s v="2006-2012"/>
    <m/>
    <s v="7807"/>
    <s v="%"/>
    <s v="2200/100"/>
    <m/>
    <m/>
    <n v="8761.7999999999993"/>
    <n v="7885.62"/>
    <n v="10952.25"/>
    <n v="9309.4125000000004"/>
  </r>
  <r>
    <x v="138"/>
    <s v="A"/>
    <s v="Santa Fe                                             Grand Santa Fe   (без электрики)                         KIA Sorento"/>
    <s v="2012-                  2013-                  2012-2015"/>
    <m/>
    <s v="8185"/>
    <s v="%"/>
    <s v="2000/100"/>
    <s v="022-007"/>
    <m/>
    <n v="6630"/>
    <n v="5967"/>
    <n v="8287.5"/>
    <n v="7044.375"/>
  </r>
  <r>
    <x v="139"/>
    <s v="A"/>
    <s v="Santa Fe 4x4"/>
    <s v="2006-2012"/>
    <m/>
    <s v="0824"/>
    <s v="%"/>
    <s v="1500/75"/>
    <m/>
    <m/>
    <n v="7364.4000000000005"/>
    <n v="6627.9600000000009"/>
    <n v="9205.5"/>
    <n v="7824.6750000000002"/>
  </r>
  <r>
    <x v="140"/>
    <s v="A"/>
    <s v="Santa Fe 4x4 (Tagaz)"/>
    <s v="2001- 2006"/>
    <m/>
    <s v="0160"/>
    <s v="%"/>
    <s v="2000/75"/>
    <m/>
    <m/>
    <n v="7303.2"/>
    <n v="6572.88"/>
    <n v="9129"/>
    <n v="7759.65"/>
  </r>
  <r>
    <x v="141"/>
    <s v="A"/>
    <s v="Solaris sedan, HB"/>
    <s v="2010-2014"/>
    <m/>
    <s v="0840"/>
    <s v="%"/>
    <s v="1000/50"/>
    <m/>
    <m/>
    <n v="4773.6000000000004"/>
    <n v="4296.2400000000007"/>
    <n v="5967"/>
    <n v="5071.95"/>
  </r>
  <r>
    <x v="142"/>
    <s v="A"/>
    <s v="Solaris sedan, HB  (без электрики)"/>
    <s v="2014-"/>
    <m/>
    <s v="8840"/>
    <s v="%"/>
    <s v="1000/50"/>
    <m/>
    <m/>
    <n v="4457.3999999999996"/>
    <n v="4011.66"/>
    <n v="5571.75"/>
    <n v="4735.9875000000002"/>
  </r>
  <r>
    <x v="143"/>
    <s v="A"/>
    <s v="Sonata sedan"/>
    <s v="2010/1-"/>
    <m/>
    <s v="0185"/>
    <m/>
    <s v="1200/75"/>
    <m/>
    <m/>
    <n v="6813.6"/>
    <n v="6132.2400000000007"/>
    <n v="8517"/>
    <n v="7239.45"/>
  </r>
  <r>
    <x v="144"/>
    <s v="A"/>
    <s v="Sonata V, sedan"/>
    <s v="2001/7-2006"/>
    <m/>
    <s v="0809"/>
    <s v="%"/>
    <s v="1500/75"/>
    <m/>
    <m/>
    <n v="6069"/>
    <n v="5462.1"/>
    <n v="7586.25"/>
    <n v="6448.3125"/>
  </r>
  <r>
    <x v="145"/>
    <s v="F"/>
    <s v="Terracan"/>
    <s v="2001-2006"/>
    <m/>
    <s v="0049"/>
    <m/>
    <s v="2000/80"/>
    <m/>
    <m/>
    <n v="7752"/>
    <n v="6976.8"/>
    <n v="9690"/>
    <n v="8236.5"/>
  </r>
  <r>
    <x v="146"/>
    <s v="A"/>
    <s v="Tucson                                                                            "/>
    <s v="2015-"/>
    <s v="Нов. 2016"/>
    <s v="8491"/>
    <m/>
    <s v="1600/100"/>
    <s v="022-007"/>
    <m/>
    <n v="7599"/>
    <n v="6839.1"/>
    <n v="9498.75"/>
    <n v="8073.9375"/>
  </r>
  <r>
    <x v="147"/>
    <s v="A"/>
    <s v="Tucson 4x4                                                                                    Kia Sportage 4x4"/>
    <s v="2004-2010                                                                                                                                                                                                                   2005-2010"/>
    <m/>
    <s v="0807"/>
    <s v="%"/>
    <s v="1500/75"/>
    <m/>
    <m/>
    <n v="7364.4000000000005"/>
    <n v="6627.9600000000009"/>
    <n v="9205.5"/>
    <n v="7824.6750000000002"/>
  </r>
  <r>
    <x v="148"/>
    <s v="A"/>
    <s v="Verna HB, sedan                                                                          Kia Rio II sedan"/>
    <s v="2006-                                                                                                                                                                                                                                        2005/9-2008"/>
    <m/>
    <s v="0834"/>
    <s v="%"/>
    <s v="1000/50"/>
    <m/>
    <m/>
    <n v="5230"/>
    <n v="4707"/>
    <n v="6537.5"/>
    <n v="5556.875"/>
  </r>
  <r>
    <x v="0"/>
    <m/>
    <s v="INFINITI"/>
    <m/>
    <m/>
    <m/>
    <m/>
    <m/>
    <m/>
    <m/>
    <m/>
    <m/>
    <m/>
    <m/>
  </r>
  <r>
    <x v="149"/>
    <s v="A"/>
    <s v="FX 35 4x4 (без электрики)"/>
    <s v="2003-2009"/>
    <m/>
    <s v="0864"/>
    <s v="%"/>
    <s v="1500/50"/>
    <s v="022-007"/>
    <m/>
    <n v="7588.8"/>
    <n v="6829.92"/>
    <n v="9486"/>
    <n v="8063.0999999999995"/>
  </r>
  <r>
    <x v="150"/>
    <s v="A"/>
    <s v="FX 37/50  (без электрики)"/>
    <s v="2010-"/>
    <m/>
    <s v="0864"/>
    <m/>
    <s v="1500/75 "/>
    <s v="022-007"/>
    <m/>
    <n v="8313"/>
    <n v="7481.7"/>
    <n v="10391.25"/>
    <n v="8832.5625"/>
  </r>
  <r>
    <x v="0"/>
    <m/>
    <s v="Iran Khodro"/>
    <m/>
    <m/>
    <m/>
    <m/>
    <m/>
    <m/>
    <m/>
    <m/>
    <m/>
    <m/>
    <m/>
  </r>
  <r>
    <x v="151"/>
    <s v="A"/>
    <s v="Samand sedan"/>
    <s v="2006-"/>
    <m/>
    <s v="0166"/>
    <m/>
    <s v="1000/50"/>
    <m/>
    <m/>
    <n v="4681.8"/>
    <n v="4213.62"/>
    <n v="5852.25"/>
    <n v="4974.4124999999995"/>
  </r>
  <r>
    <x v="0"/>
    <m/>
    <s v="JAC"/>
    <m/>
    <m/>
    <m/>
    <m/>
    <m/>
    <m/>
    <m/>
    <m/>
    <m/>
    <m/>
    <m/>
  </r>
  <r>
    <x v="152"/>
    <s v="A"/>
    <s v="S5 (без электрики)"/>
    <s v="2014-"/>
    <m/>
    <s v="8826"/>
    <m/>
    <s v="1500/75"/>
    <m/>
    <m/>
    <n v="5110.2"/>
    <n v="4599.18"/>
    <n v="6387.75"/>
    <n v="5429.5874999999996"/>
  </r>
  <r>
    <x v="0"/>
    <m/>
    <s v="Jeep  "/>
    <m/>
    <m/>
    <m/>
    <m/>
    <m/>
    <m/>
    <m/>
    <m/>
    <m/>
    <m/>
    <m/>
  </r>
  <r>
    <x v="153"/>
    <s v="A"/>
    <s v="Grand Cherokee 4x4"/>
    <s v="1999/3-2005/5"/>
    <m/>
    <s v="0185"/>
    <m/>
    <s v="1500/75"/>
    <m/>
    <m/>
    <n v="6466.8"/>
    <n v="5820.12"/>
    <n v="8083.5"/>
    <n v="6870.9749999999995"/>
  </r>
  <r>
    <x v="154"/>
    <s v="A"/>
    <s v="Grand Cherokee 4x4"/>
    <s v="2010-2014"/>
    <s v="Нов. 2016"/>
    <s v="8491"/>
    <m/>
    <s v="3500/140"/>
    <s v="022-007"/>
    <m/>
    <n v="8058"/>
    <n v="7252.2"/>
    <n v="10072.5"/>
    <n v="8561.625"/>
  </r>
  <r>
    <x v="0"/>
    <m/>
    <s v="KIA"/>
    <m/>
    <m/>
    <m/>
    <m/>
    <m/>
    <m/>
    <m/>
    <m/>
    <m/>
    <m/>
    <m/>
  </r>
  <r>
    <x v="155"/>
    <s v="A"/>
    <s v="Carens minivan "/>
    <s v="2006/11-2013"/>
    <m/>
    <s v="0841"/>
    <s v="%"/>
    <s v="1500/75"/>
    <m/>
    <m/>
    <n v="6874.8"/>
    <n v="6187.3200000000006"/>
    <n v="8593.5"/>
    <n v="7304.4749999999995"/>
  </r>
  <r>
    <x v="156"/>
    <s v="A"/>
    <s v="Carnival minivan "/>
    <s v="2006-"/>
    <m/>
    <s v="0186"/>
    <s v="%"/>
    <s v="1500/50"/>
    <m/>
    <m/>
    <n v="7609.2"/>
    <n v="6848.28"/>
    <n v="9511.5"/>
    <n v="8084.7749999999996"/>
  </r>
  <r>
    <x v="131"/>
    <s v="A"/>
    <s v="Cee'd HB                                                                                                            Hyundai i30 HB "/>
    <s v="2007-2012"/>
    <m/>
    <s v="0854"/>
    <s v="%"/>
    <s v="1200/75"/>
    <m/>
    <m/>
    <n v="6048.6"/>
    <n v="5443.7400000000007"/>
    <n v="7560.75"/>
    <n v="6426.6374999999998"/>
  </r>
  <r>
    <x v="132"/>
    <s v="A"/>
    <s v="Cee'd HB (без электрики)                    Hyundai i30 HB"/>
    <s v="2012-"/>
    <m/>
    <s v="8880"/>
    <s v="%"/>
    <s v="1500/75"/>
    <s v="022-007"/>
    <m/>
    <n v="5263.2"/>
    <n v="4736.88"/>
    <n v="6579"/>
    <n v="5592.15"/>
  </r>
  <r>
    <x v="157"/>
    <s v="A"/>
    <s v="Ceed Sporty Wagon"/>
    <s v="2007/10-2012"/>
    <m/>
    <s v="0855"/>
    <s v="%"/>
    <s v="1300/75"/>
    <m/>
    <m/>
    <n v="4681.8"/>
    <n v="4213.62"/>
    <n v="5852.25"/>
    <n v="4974.4124999999995"/>
  </r>
  <r>
    <x v="133"/>
    <s v="A"/>
    <s v="Ceed Sporty Wagon                             Hyundai I30 SW (без электрики)"/>
    <s v="2012-"/>
    <m/>
    <s v="8181"/>
    <s v="%"/>
    <s v="1500/75"/>
    <s v="022-007"/>
    <m/>
    <n v="4406.3999999999996"/>
    <n v="3965.7599999999998"/>
    <n v="5508"/>
    <n v="4681.8"/>
  </r>
  <r>
    <x v="158"/>
    <s v="A"/>
    <s v="Cerato  sedan  дв. 1,6L"/>
    <s v="2009-2012"/>
    <m/>
    <s v="0829"/>
    <m/>
    <s v="1300/50"/>
    <m/>
    <m/>
    <n v="5069.3999999999996"/>
    <n v="4562.46"/>
    <n v="6336.75"/>
    <n v="5386.2375000000002"/>
  </r>
  <r>
    <x v="159"/>
    <s v="A"/>
    <s v="Cerato HB, sedan  "/>
    <s v="2004-2008"/>
    <m/>
    <s v="0828"/>
    <m/>
    <s v="1110/60"/>
    <m/>
    <m/>
    <n v="4406.3999999999996"/>
    <n v="3965.7599999999998"/>
    <n v="5508"/>
    <n v="4681.8"/>
  </r>
  <r>
    <x v="160"/>
    <s v="A"/>
    <s v="Cerato sedan (без электрики)"/>
    <s v="2013-"/>
    <m/>
    <s v="8826"/>
    <m/>
    <s v="1000/75"/>
    <s v="022-007"/>
    <m/>
    <n v="4743"/>
    <n v="4268.7"/>
    <n v="5928.75"/>
    <n v="5039.4375"/>
  </r>
  <r>
    <x v="161"/>
    <s v="A"/>
    <s v="Kia Sportage"/>
    <s v="2016-"/>
    <s v="Нов. 2016"/>
    <s v="8491"/>
    <m/>
    <s v="1900/120"/>
    <s v="022-007"/>
    <m/>
    <n v="6477"/>
    <n v="5829.3"/>
    <n v="8096.25"/>
    <n v="6881.8125"/>
  </r>
  <r>
    <x v="162"/>
    <s v="A"/>
    <s v="Mohave (без электрики)"/>
    <s v="2009-"/>
    <s v="Нов.2015"/>
    <s v="8856"/>
    <s v="%"/>
    <s v="2000/100"/>
    <m/>
    <m/>
    <n v="5344.8"/>
    <n v="4810.3200000000006"/>
    <n v="6681"/>
    <n v="5678.8499999999995"/>
  </r>
  <r>
    <x v="163"/>
    <s v="A"/>
    <s v="Rio HB"/>
    <s v="2010-2011"/>
    <m/>
    <s v="0832"/>
    <m/>
    <s v="1200/75"/>
    <m/>
    <m/>
    <n v="5691.6"/>
    <n v="5122.4400000000005"/>
    <n v="7114.5"/>
    <n v="6047.3249999999998"/>
  </r>
  <r>
    <x v="164"/>
    <s v="A"/>
    <s v="Rio HB"/>
    <s v="2011-"/>
    <m/>
    <s v="0832"/>
    <s v="%"/>
    <s v="1000/50"/>
    <m/>
    <m/>
    <n v="6200"/>
    <n v="5580"/>
    <n v="7750"/>
    <n v="6587.5"/>
  </r>
  <r>
    <x v="165"/>
    <s v="A"/>
    <s v="Rio II HB"/>
    <s v="2005/9-2008"/>
    <m/>
    <s v="0208"/>
    <m/>
    <s v="1100/60"/>
    <m/>
    <m/>
    <n v="4804.2"/>
    <n v="4323.78"/>
    <n v="6005.25"/>
    <n v="5104.4624999999996"/>
  </r>
  <r>
    <x v="166"/>
    <s v="C"/>
    <s v="Rio II HB  (без электрики)   "/>
    <s v="2005-2008"/>
    <m/>
    <m/>
    <m/>
    <m/>
    <m/>
    <m/>
    <n v="7344"/>
    <n v="6609.6"/>
    <n v="9180"/>
    <n v="7803"/>
  </r>
  <r>
    <x v="148"/>
    <s v="A"/>
    <s v="Rio II sedan                                                                          Hyundai Verna HB, sedan"/>
    <s v="2005/9-2008                                                                                                                                                                                                                        2006-"/>
    <m/>
    <s v="0834"/>
    <s v="%"/>
    <s v="1000/50"/>
    <m/>
    <m/>
    <n v="5230"/>
    <n v="4707"/>
    <n v="6537.5"/>
    <n v="5556.875"/>
  </r>
  <r>
    <x v="167"/>
    <s v="A"/>
    <s v="Rio sedan"/>
    <s v="2009-2011/10"/>
    <m/>
    <s v="0834"/>
    <m/>
    <s v="1100/60"/>
    <m/>
    <m/>
    <n v="6120"/>
    <n v="5508"/>
    <n v="7650"/>
    <n v="6502.5"/>
  </r>
  <r>
    <x v="168"/>
    <s v="A"/>
    <s v="Rio sedan"/>
    <s v="2011-2015  2015-"/>
    <m/>
    <s v="0840 "/>
    <s v="%"/>
    <s v="1000/50 "/>
    <m/>
    <m/>
    <n v="5834.4000000000005"/>
    <n v="5250.9600000000009"/>
    <n v="7293.0000000000009"/>
    <n v="6199.05"/>
  </r>
  <r>
    <x v="169"/>
    <s v="F"/>
    <s v="Sorento 4x4"/>
    <s v="2006-2009"/>
    <m/>
    <m/>
    <s v="%"/>
    <s v="3500/120"/>
    <m/>
    <m/>
    <n v="6925.8"/>
    <n v="6233.22"/>
    <n v="8657.25"/>
    <n v="7358.6624999999995"/>
  </r>
  <r>
    <x v="170"/>
    <s v="A"/>
    <s v="Sorento 4x4 "/>
    <s v="2002- 2006"/>
    <m/>
    <s v="0140"/>
    <s v="%"/>
    <s v="1500/100"/>
    <m/>
    <m/>
    <n v="7619.4000000000005"/>
    <n v="6857.4600000000009"/>
    <n v="9524.25"/>
    <n v="8095.6125000000002"/>
  </r>
  <r>
    <x v="171"/>
    <s v="F"/>
    <s v="Sorento 4x4 "/>
    <s v="2002- 2006"/>
    <m/>
    <m/>
    <s v="%"/>
    <s v="2000/120"/>
    <m/>
    <m/>
    <n v="6528"/>
    <n v="5875.2"/>
    <n v="8160"/>
    <n v="6936"/>
  </r>
  <r>
    <x v="172"/>
    <s v="A"/>
    <s v="Sorento 4x4 "/>
    <s v="2006-2008"/>
    <m/>
    <s v="0140"/>
    <s v="%"/>
    <s v="1500/100"/>
    <m/>
    <m/>
    <n v="6742.2"/>
    <n v="6067.98"/>
    <n v="8427.75"/>
    <n v="7163.5874999999996"/>
  </r>
  <r>
    <x v="173"/>
    <s v="A"/>
    <s v="Sorento 4x4 "/>
    <s v="2009-2012"/>
    <m/>
    <s v="0186"/>
    <s v="%"/>
    <s v="1500/75"/>
    <m/>
    <m/>
    <n v="6385.2"/>
    <n v="5746.68"/>
    <n v="7981.5"/>
    <n v="6784.2749999999996"/>
  </r>
  <r>
    <x v="138"/>
    <s v="A"/>
    <s v="Sorento 4x4 (без электрики)"/>
    <s v="2012-2015"/>
    <m/>
    <s v="8185"/>
    <s v="%"/>
    <s v="2000/100"/>
    <s v="022-007"/>
    <m/>
    <n v="6630"/>
    <n v="5967"/>
    <n v="8287.5"/>
    <n v="7044.375"/>
  </r>
  <r>
    <x v="174"/>
    <s v="A"/>
    <s v="Sorento Prime (без электрики)"/>
    <s v="2015-"/>
    <s v="Нов.2015"/>
    <s v="8300"/>
    <s v="%"/>
    <s v="2000/75"/>
    <s v="022-007"/>
    <m/>
    <n v="6395.4000000000005"/>
    <n v="5755.8600000000006"/>
    <n v="7994.2500000000009"/>
    <n v="6795.1125000000002"/>
  </r>
  <r>
    <x v="175"/>
    <s v="A"/>
    <s v="Soul MPV"/>
    <s v="2009/02-2014"/>
    <m/>
    <s v="0854"/>
    <m/>
    <s v="1200/50"/>
    <m/>
    <m/>
    <n v="5620.2"/>
    <n v="5058.18"/>
    <n v="7025.25"/>
    <n v="5971.4624999999996"/>
  </r>
  <r>
    <x v="176"/>
    <s v="A"/>
    <s v="Soul MPV NEW (без электрики)"/>
    <s v="2014-"/>
    <m/>
    <s v="8829"/>
    <m/>
    <s v="1100/75"/>
    <s v="022-007"/>
    <m/>
    <n v="5059.2"/>
    <n v="4553.28"/>
    <n v="6324"/>
    <n v="5375.4"/>
  </r>
  <r>
    <x v="177"/>
    <s v="A"/>
    <s v="Spectra sedan                                                                         Sephia II HB                                                                                                       Shuma sedan"/>
    <s v="1998-2011                                                                                                                                                                                                                   1998-2001/4                                                                                                                                                                                                                             1998-2001/4"/>
    <m/>
    <s v="0812"/>
    <s v="%"/>
    <s v="1400/75"/>
    <m/>
    <m/>
    <n v="6364.8"/>
    <n v="5728.3200000000006"/>
    <n v="7956"/>
    <n v="6762.5999999999995"/>
  </r>
  <r>
    <x v="178"/>
    <s v="A"/>
    <s v="Sportage 4x4"/>
    <s v="2010-"/>
    <m/>
    <s v="0828"/>
    <m/>
    <s v="1500/75"/>
    <s v="022-007"/>
    <m/>
    <n v="7089"/>
    <n v="6380.1"/>
    <n v="8861.25"/>
    <n v="7532.0625"/>
  </r>
  <r>
    <x v="147"/>
    <s v="A"/>
    <s v="Sportage 4x4                                                                          Hyundai Tucson 4x4                             "/>
    <s v="2005-2010                                                                                                                                                                                                                                  2004-2010"/>
    <m/>
    <s v="0807"/>
    <s v="%"/>
    <s v="1500/75"/>
    <m/>
    <m/>
    <n v="7364.4000000000005"/>
    <n v="6627.9600000000009"/>
    <n v="9205.5"/>
    <n v="7824.6750000000002"/>
  </r>
  <r>
    <x v="179"/>
    <s v="A"/>
    <s v="Sportage GRAND 4x4"/>
    <s v="2000/3-2006"/>
    <m/>
    <s v="0185"/>
    <m/>
    <s v="1500/75"/>
    <m/>
    <m/>
    <n v="5783.4000000000005"/>
    <n v="5205.0600000000004"/>
    <n v="7229.2500000000009"/>
    <n v="6144.8625000000002"/>
  </r>
  <r>
    <x v="0"/>
    <m/>
    <s v="LAND ROVER"/>
    <m/>
    <m/>
    <m/>
    <m/>
    <m/>
    <m/>
    <m/>
    <m/>
    <m/>
    <m/>
    <m/>
  </r>
  <r>
    <x v="180"/>
    <s v="A"/>
    <s v="Discovery Sport    (без электрики)"/>
    <s v="2015-"/>
    <m/>
    <s v="8837"/>
    <s v="%"/>
    <s v="2200/75"/>
    <s v="022-007"/>
    <m/>
    <n v="8710.7999999999993"/>
    <n v="7839.7199999999993"/>
    <n v="10888.5"/>
    <n v="9255.2250000000004"/>
  </r>
  <r>
    <x v="181"/>
    <s v="A"/>
    <s v="Freelander II 4x4  (без электрики)"/>
    <s v="2007-2012"/>
    <m/>
    <s v="0868"/>
    <m/>
    <s v="1500/50"/>
    <s v="022-007"/>
    <m/>
    <n v="7017.6"/>
    <n v="6315.84"/>
    <n v="8772"/>
    <n v="7456.2"/>
  </r>
  <r>
    <x v="182"/>
    <s v="A"/>
    <s v="Range Rover Vogue"/>
    <s v="2007-"/>
    <m/>
    <s v="0826"/>
    <m/>
    <s v="1500/75"/>
    <s v="022-007"/>
    <m/>
    <n v="8241.6"/>
    <n v="7417.4400000000005"/>
    <n v="10302"/>
    <n v="8756.6999999999989"/>
  </r>
  <r>
    <x v="0"/>
    <m/>
    <s v="LEXUS"/>
    <m/>
    <m/>
    <m/>
    <m/>
    <m/>
    <m/>
    <m/>
    <m/>
    <m/>
    <m/>
    <m/>
  </r>
  <r>
    <x v="183"/>
    <s v="A"/>
    <s v="GX (без электрики)      "/>
    <s v="2010-"/>
    <s v="Нов. 2016"/>
    <s v="8890"/>
    <s v="%"/>
    <s v="3500/140"/>
    <m/>
    <m/>
    <n v="3978"/>
    <n v="3580.2000000000003"/>
    <n v="4972.5"/>
    <n v="4226.625"/>
  </r>
  <r>
    <x v="184"/>
    <s v="E"/>
    <s v="GX (без электрики)      "/>
    <s v="2010-"/>
    <s v="Нов. 2016"/>
    <s v="E"/>
    <s v="%"/>
    <s v="2500/100"/>
    <m/>
    <m/>
    <n v="5304"/>
    <n v="4773.6000000000004"/>
    <n v="6630"/>
    <n v="5635.5"/>
  </r>
  <r>
    <x v="185"/>
    <s v="A"/>
    <s v="GX 460                                                                    Toyota Land Cruiser Prado (150) 4x4"/>
    <s v="2010-2014 2010-"/>
    <m/>
    <s v="0800"/>
    <m/>
    <s v="1500/75"/>
    <m/>
    <s v="Bosal Power*"/>
    <n v="14361.6"/>
    <n v="12925.44"/>
    <n v="17952"/>
    <n v="15259.199999999999"/>
  </r>
  <r>
    <x v="186"/>
    <s v="A"/>
    <s v="GX 460                                                                    Toyota Land Cruiser Prado (150) 4x4"/>
    <s v="2010-2014 2010-"/>
    <m/>
    <s v="0800"/>
    <m/>
    <s v="1500/75"/>
    <m/>
    <s v="Plate LUX"/>
    <n v="13300.800000000001"/>
    <n v="11970.720000000001"/>
    <n v="16626"/>
    <n v="14132.1"/>
  </r>
  <r>
    <x v="187"/>
    <s v="A"/>
    <s v="GX 460 (без электрики)      "/>
    <s v="2014-"/>
    <s v="Нов. 2016"/>
    <s v="8804"/>
    <m/>
    <s v="3000/100"/>
    <m/>
    <s v="Bosal Power*"/>
    <n v="15606"/>
    <n v="14045.4"/>
    <n v="19507.5"/>
    <n v="16581.375"/>
  </r>
  <r>
    <x v="188"/>
    <s v="A"/>
    <s v="GX 460 4x4_x000a_Land Cruiser Prado (150) 4x4  "/>
    <s v="2010-2014 2010-"/>
    <m/>
    <s v="0800"/>
    <m/>
    <s v="1500/75"/>
    <m/>
    <m/>
    <n v="6528"/>
    <n v="5875.2"/>
    <n v="8160"/>
    <n v="6936"/>
  </r>
  <r>
    <x v="189"/>
    <s v="F"/>
    <s v="GX 460_x000a_Land Cruiser Prado (150)  4x4 "/>
    <s v="2010-2014 2010- "/>
    <m/>
    <s v="0049"/>
    <m/>
    <s v="2500/100"/>
    <m/>
    <s v="Plate LUX"/>
    <n v="14739"/>
    <n v="13265.1"/>
    <n v="18423.75"/>
    <n v="15660.1875"/>
  </r>
  <r>
    <x v="190"/>
    <s v="F"/>
    <s v="GX 460_x000a_Land Cruiser Prado (150)  4x4                (без электрики)                                 Крепление шара на балке ТСУ"/>
    <s v="2010-2014 2010- "/>
    <m/>
    <s v="0049"/>
    <m/>
    <s v="1500/75"/>
    <m/>
    <s v="Plate LUX"/>
    <n v="14953.2"/>
    <n v="13457.880000000001"/>
    <n v="18691.5"/>
    <n v="15887.775"/>
  </r>
  <r>
    <x v="191"/>
    <s v="A"/>
    <s v="GX 470 4x4                                                                                            Toyota Land Cruiser Prado (J120,125) 4x4"/>
    <s v="2003-2009"/>
    <m/>
    <s v="0800"/>
    <m/>
    <s v="1500/100"/>
    <m/>
    <m/>
    <n v="7435.8"/>
    <n v="6692.22"/>
    <n v="9294.75"/>
    <n v="7900.5374999999995"/>
  </r>
  <r>
    <x v="192"/>
    <s v="F"/>
    <s v="Lexus LX 570 4x4                                    Toyoya Land Cruiser 200 4x4 (без электрики)   Крепление шара на балке ТСУ"/>
    <s v="2007-"/>
    <m/>
    <m/>
    <m/>
    <s v="2000/120"/>
    <m/>
    <m/>
    <n v="8292.6"/>
    <n v="7463.34"/>
    <n v="10365.75"/>
    <n v="8810.8874999999989"/>
  </r>
  <r>
    <x v="193"/>
    <s v="A"/>
    <s v="Lexus RX (без электрики)"/>
    <s v="2016-"/>
    <s v="Нов. 2016"/>
    <s v="8825"/>
    <m/>
    <s v="2500/120"/>
    <s v="022-007"/>
    <m/>
    <n v="8568"/>
    <n v="7711.2"/>
    <n v="10710"/>
    <n v="9103.5"/>
  </r>
  <r>
    <x v="194"/>
    <s v="A"/>
    <s v="LX (без электрики)"/>
    <s v="2007-"/>
    <s v="Нов. 2016"/>
    <s v="8890"/>
    <s v="%"/>
    <s v="3500/140"/>
    <m/>
    <m/>
    <n v="5049"/>
    <n v="4544.1000000000004"/>
    <n v="6311.25"/>
    <n v="5364.5625"/>
  </r>
  <r>
    <x v="195"/>
    <s v="E"/>
    <s v="LX (без электрики)"/>
    <s v="2007-"/>
    <s v="Нов. 2016"/>
    <s v="E"/>
    <s v="%"/>
    <s v="2500/100"/>
    <m/>
    <m/>
    <n v="6834"/>
    <n v="6150.6"/>
    <n v="8542.5"/>
    <n v="7261.125"/>
  </r>
  <r>
    <x v="196"/>
    <s v="A"/>
    <s v="LX 470 4x4                                                                                                                 Toyota Land Cruiser 100 VX 4x4"/>
    <s v=" 2003-2007                                                                                                                                                                                                                               1998/3-2007 "/>
    <m/>
    <s v="0800"/>
    <m/>
    <s v="1500/100"/>
    <m/>
    <m/>
    <n v="7303.2"/>
    <n v="6572.88"/>
    <n v="9129"/>
    <n v="7759.65"/>
  </r>
  <r>
    <x v="197"/>
    <s v="A"/>
    <s v="LX 470 4x4                                                                                                                 Toyota Land Cruiser 100 VX 4x4"/>
    <s v=" 2003-2007                                                                                                                                                                                                                               1998/3-2008"/>
    <m/>
    <s v="0800"/>
    <m/>
    <s v="1500/100"/>
    <m/>
    <s v="Bosal Power*"/>
    <n v="14841"/>
    <n v="13356.9"/>
    <n v="18551.25"/>
    <n v="15768.5625"/>
  </r>
  <r>
    <x v="198"/>
    <s v="F"/>
    <s v="LX 570 4x4                                                                                                                                                                                                                              Toyota Land Cruiser 200 4x4"/>
    <s v="2007-"/>
    <m/>
    <m/>
    <s v="%"/>
    <s v="2500/100"/>
    <m/>
    <m/>
    <n v="5844.6"/>
    <n v="5260.14"/>
    <n v="7305.75"/>
    <n v="6209.8874999999998"/>
  </r>
  <r>
    <x v="199"/>
    <s v="A"/>
    <s v="LX 570 4x4                                                                                                                                                                                                                 Toyota Land Cruiser 200 4x4"/>
    <s v="2007-"/>
    <m/>
    <s v="0804"/>
    <m/>
    <s v="1500/75"/>
    <m/>
    <s v="Bosal Power*"/>
    <n v="15289.800000000001"/>
    <n v="13760.820000000002"/>
    <n v="19112.25"/>
    <n v="16245.4125"/>
  </r>
  <r>
    <x v="200"/>
    <s v="A"/>
    <s v="LX 570 4x4                                                                                                      Toyota Land Cruiser 200 4x4"/>
    <s v="2007-"/>
    <m/>
    <s v="0804"/>
    <m/>
    <s v="1500/75"/>
    <m/>
    <m/>
    <n v="7364.4000000000005"/>
    <n v="6627.9600000000009"/>
    <n v="9205.5"/>
    <n v="7824.6750000000002"/>
  </r>
  <r>
    <x v="201"/>
    <s v="A"/>
    <s v="LX 570 4x4                                                                                                      Toyota Land Cruiser 200 4x4"/>
    <s v="2007-"/>
    <m/>
    <s v="0804"/>
    <m/>
    <s v="1500/75"/>
    <m/>
    <s v="Plate LUX"/>
    <n v="14198.4"/>
    <n v="12778.56"/>
    <n v="17748"/>
    <n v="15085.8"/>
  </r>
  <r>
    <x v="202"/>
    <s v="F"/>
    <s v="LX 570 4x4                                                                                                      Toyota Land Cruiser 200 4x4                  (без электрики)                                               Крепление шара на балке ТСУ"/>
    <s v="2007-"/>
    <m/>
    <s v="0049"/>
    <m/>
    <s v="2000/120"/>
    <m/>
    <s v="Plate LUX"/>
    <n v="14137.2"/>
    <n v="12723.480000000001"/>
    <n v="17671.5"/>
    <n v="15020.775"/>
  </r>
  <r>
    <x v="203"/>
    <s v="A"/>
    <s v="RX 300 4x4_x000a_Toyota Highlander"/>
    <s v="1997-2003"/>
    <m/>
    <s v="0800"/>
    <m/>
    <s v="1500/75"/>
    <m/>
    <m/>
    <n v="7364.4000000000005"/>
    <n v="6627.9600000000009"/>
    <n v="9205.5"/>
    <n v="7824.6750000000002"/>
  </r>
  <r>
    <x v="204"/>
    <s v="A"/>
    <s v="RX 300 4x4, RX 330 4x4, RX 350 4x4 _x000a_Toyota Highlander"/>
    <s v="2003-2009"/>
    <m/>
    <s v="0800"/>
    <m/>
    <s v="1500/75"/>
    <m/>
    <m/>
    <n v="7364.4000000000005"/>
    <n v="6627.9600000000009"/>
    <n v="9205.5"/>
    <n v="7824.6750000000002"/>
  </r>
  <r>
    <x v="205"/>
    <s v="A"/>
    <s v="RX 300 4x4, RX 330 4x4, RX 350 4x4 _x000a_Toyota Highlander"/>
    <s v="2003-2009"/>
    <m/>
    <s v="0800"/>
    <m/>
    <s v="1500/75"/>
    <m/>
    <s v="Bosal Power*"/>
    <n v="14637"/>
    <n v="13173.300000000001"/>
    <n v="18296.25"/>
    <n v="15551.8125"/>
  </r>
  <r>
    <x v="206"/>
    <s v="F"/>
    <s v="RX 300/RX330 "/>
    <s v="2003-2009"/>
    <m/>
    <s v="0049"/>
    <m/>
    <s v="2000/100"/>
    <m/>
    <s v="Plate LUX"/>
    <n v="11923.800000000001"/>
    <n v="10731.420000000002"/>
    <n v="14904.750000000002"/>
    <n v="12669.0375"/>
  </r>
  <r>
    <x v="207"/>
    <s v="A"/>
    <s v="RX 350"/>
    <s v="2009-"/>
    <m/>
    <s v="0825"/>
    <m/>
    <s v="1500/75"/>
    <m/>
    <m/>
    <n v="7384.8"/>
    <n v="6646.3200000000006"/>
    <n v="9231"/>
    <n v="7846.3499999999995"/>
  </r>
  <r>
    <x v="0"/>
    <m/>
    <s v="LIFAN"/>
    <m/>
    <m/>
    <m/>
    <m/>
    <m/>
    <m/>
    <m/>
    <m/>
    <m/>
    <m/>
    <m/>
  </r>
  <r>
    <x v="208"/>
    <s v="A"/>
    <s v="Breez (2008 - ...)"/>
    <s v="2008-"/>
    <m/>
    <s v="VH0808"/>
    <m/>
    <s v="1100/50"/>
    <m/>
    <m/>
    <n v="4253.3999999999996"/>
    <n v="3828.06"/>
    <n v="5316.75"/>
    <n v="4519.2375000000002"/>
  </r>
  <r>
    <x v="209"/>
    <s v="A"/>
    <s v="Breez sedan"/>
    <s v="2007-"/>
    <m/>
    <s v="0843"/>
    <m/>
    <s v="1000/65"/>
    <m/>
    <m/>
    <n v="4253.3999999999996"/>
    <n v="3828.06"/>
    <n v="5316.75"/>
    <n v="4519.2375000000002"/>
  </r>
  <r>
    <x v="210"/>
    <s v="A"/>
    <s v="Cebrium sedan (без электрики)"/>
    <s v="2014-"/>
    <m/>
    <s v="8882"/>
    <m/>
    <s v="1200/75"/>
    <m/>
    <m/>
    <n v="4253.3999999999996"/>
    <n v="3828.06"/>
    <n v="5316.75"/>
    <n v="4519.2375000000002"/>
  </r>
  <r>
    <x v="211"/>
    <s v="A"/>
    <s v="Solano sedan (без электрики)"/>
    <s v="2008-"/>
    <m/>
    <s v="0173"/>
    <m/>
    <s v="1200/60"/>
    <m/>
    <m/>
    <n v="4161.6000000000004"/>
    <n v="3745.4400000000005"/>
    <n v="5202"/>
    <n v="4421.7"/>
  </r>
  <r>
    <x v="212"/>
    <s v="A"/>
    <s v="X50 (без электрики)"/>
    <s v="2015-"/>
    <m/>
    <s v="8844"/>
    <m/>
    <s v="1500/75"/>
    <m/>
    <m/>
    <n v="4457.3999999999996"/>
    <n v="4011.66"/>
    <n v="5571.75"/>
    <n v="4735.9875000000002"/>
  </r>
  <r>
    <x v="213"/>
    <s v="A"/>
    <s v="X60 (без электрики)"/>
    <s v="2012-"/>
    <m/>
    <s v="8845"/>
    <m/>
    <s v="2000/75"/>
    <m/>
    <m/>
    <n v="6599.4000000000005"/>
    <n v="5939.4600000000009"/>
    <n v="8249.25"/>
    <n v="7011.8625000000002"/>
  </r>
  <r>
    <x v="0"/>
    <m/>
    <s v="MAZDA"/>
    <m/>
    <m/>
    <m/>
    <m/>
    <m/>
    <m/>
    <m/>
    <m/>
    <m/>
    <m/>
    <m/>
  </r>
  <r>
    <x v="81"/>
    <s v="A"/>
    <s v="3 HB 2009-2013,_x000a_3 sedan 03-08,_x000a_Ford Focus III HB 2011-…"/>
    <s v="2009-2013   2003-2008    2011-"/>
    <m/>
    <s v="0875"/>
    <s v="%"/>
    <s v="1200/75 "/>
    <s v="022-007"/>
    <m/>
    <n v="6099.6"/>
    <n v="5489.64"/>
    <n v="7624.5"/>
    <n v="6480.8249999999998"/>
  </r>
  <r>
    <x v="214"/>
    <s v="A"/>
    <s v="3 sedan (без электрики)"/>
    <s v="2009-2013"/>
    <m/>
    <s v="0872"/>
    <m/>
    <s v="1500/50"/>
    <m/>
    <m/>
    <n v="5559"/>
    <n v="5003.1000000000004"/>
    <n v="6948.75"/>
    <n v="5906.4375"/>
  </r>
  <r>
    <x v="215"/>
    <s v="A"/>
    <s v="6 HB, sedan  "/>
    <s v="2002/6-2008"/>
    <m/>
    <s v="0166"/>
    <s v="%"/>
    <s v="1500/75"/>
    <m/>
    <m/>
    <n v="7027.8"/>
    <n v="6325.02"/>
    <n v="8784.75"/>
    <n v="7467.0374999999995"/>
  </r>
  <r>
    <x v="216"/>
    <s v="A"/>
    <s v="6 HB, sedan  (без электрики)"/>
    <s v="2008-2013"/>
    <m/>
    <s v="0840"/>
    <s v="%"/>
    <s v="1500/70"/>
    <s v="022-007"/>
    <m/>
    <n v="6099.6"/>
    <n v="5489.64"/>
    <n v="7624.5"/>
    <n v="6480.8249999999998"/>
  </r>
  <r>
    <x v="92"/>
    <s v="F"/>
    <s v="B 2500 pick-up                                                                                                                                                                                   Ford Ranger 4x4  "/>
    <s v="1999-20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99/10-2007  "/>
    <m/>
    <s v="0049"/>
    <m/>
    <s v="2000/85"/>
    <m/>
    <m/>
    <n v="9300"/>
    <n v="8370"/>
    <n v="11625"/>
    <n v="9881.25"/>
  </r>
  <r>
    <x v="93"/>
    <s v="F"/>
    <s v="BT 50 truck                                                                                 Ford Ranger 4x4  "/>
    <s v="2006- 2011                     2007- 2011"/>
    <m/>
    <s v="0049"/>
    <m/>
    <s v="2000/100"/>
    <m/>
    <m/>
    <n v="8250"/>
    <n v="7425"/>
    <n v="10312.5"/>
    <n v="8765.625"/>
  </r>
  <r>
    <x v="217"/>
    <s v="A"/>
    <s v="CX-5 (без электрики)"/>
    <s v="2012-          2015-"/>
    <m/>
    <s v="0829"/>
    <s v="%"/>
    <s v="1500/75"/>
    <s v="022-007"/>
    <m/>
    <n v="7497"/>
    <n v="6747.3"/>
    <n v="9371.25"/>
    <n v="7965.5625"/>
  </r>
  <r>
    <x v="218"/>
    <s v="AK10"/>
    <s v="CX-5 (без электрики)"/>
    <s v="2012-"/>
    <m/>
    <m/>
    <s v="%"/>
    <s v="2000/88"/>
    <s v="022-007"/>
    <m/>
    <n v="10822.2"/>
    <n v="9739.9800000000014"/>
    <n v="13527.75"/>
    <n v="11498.5875"/>
  </r>
  <r>
    <x v="219"/>
    <s v="A"/>
    <s v="CX-5 (без электрики)"/>
    <s v="2012-          2015-"/>
    <s v="Нов. 2016"/>
    <s v="8901"/>
    <m/>
    <s v="2000/75"/>
    <s v="022-007"/>
    <m/>
    <n v="8466"/>
    <n v="7619.4000000000005"/>
    <n v="10582.5"/>
    <n v="8995.125"/>
  </r>
  <r>
    <x v="220"/>
    <s v="A"/>
    <s v="CX-7 4x4 (без электрики)"/>
    <s v="2007-2012"/>
    <m/>
    <s v="0833"/>
    <m/>
    <s v="1300/50"/>
    <s v="022-007"/>
    <m/>
    <n v="7364.4000000000005"/>
    <n v="6627.9600000000009"/>
    <n v="9205.5"/>
    <n v="7824.6750000000002"/>
  </r>
  <r>
    <x v="221"/>
    <s v="A"/>
    <s v="CX-9 (без электрики)"/>
    <s v="2012-"/>
    <m/>
    <s v="8173"/>
    <m/>
    <s v="1500/50"/>
    <s v="022-007"/>
    <m/>
    <n v="5956.8"/>
    <n v="5361.12"/>
    <n v="7446"/>
    <n v="6329.0999999999995"/>
  </r>
  <r>
    <x v="222"/>
    <s v="A"/>
    <s v="CX-9 4x4 (без электрики)"/>
    <s v="2008-2013"/>
    <m/>
    <s v="0842"/>
    <m/>
    <s v="1500/50"/>
    <s v="022-007"/>
    <m/>
    <n v="5956.8"/>
    <n v="5361.12"/>
    <n v="7446"/>
    <n v="6329.0999999999995"/>
  </r>
  <r>
    <x v="89"/>
    <s v="A"/>
    <s v="Tribute 4x4                                                                                                           Ford Maverick 4x4"/>
    <s v="2004-2005_x000a_2004-"/>
    <m/>
    <s v="0804"/>
    <s v="%"/>
    <s v="1500/75"/>
    <m/>
    <m/>
    <n v="7303.2"/>
    <n v="6572.88"/>
    <n v="9129"/>
    <n v="7759.65"/>
  </r>
  <r>
    <x v="88"/>
    <s v="A"/>
    <s v="Tribute 4x4                                                                                       Ford Maverick 4x4"/>
    <s v="2001-2003                                                                                                                                                                                                                            2001/9-2003/1   "/>
    <m/>
    <s v="0188"/>
    <s v="%"/>
    <s v="1500/75"/>
    <m/>
    <m/>
    <n v="7027.8"/>
    <n v="6325.02"/>
    <n v="8784.75"/>
    <n v="7467.0374999999995"/>
  </r>
  <r>
    <x v="0"/>
    <m/>
    <s v="MERCEDES"/>
    <m/>
    <m/>
    <m/>
    <m/>
    <m/>
    <m/>
    <m/>
    <m/>
    <m/>
    <m/>
    <m/>
  </r>
  <r>
    <x v="223"/>
    <s v="A"/>
    <s v="GLK-Сlasse (x204) 4x4 (без электрики)"/>
    <s v="2008/10-"/>
    <m/>
    <s v="0220"/>
    <s v="%"/>
    <s v="1500/75"/>
    <s v="022-007"/>
    <m/>
    <n v="6579"/>
    <n v="5921.1"/>
    <n v="8223.75"/>
    <n v="6990.1875"/>
  </r>
  <r>
    <x v="224"/>
    <s v="H"/>
    <s v="M-Class 4x4 "/>
    <s v="1998- 2005"/>
    <m/>
    <s v="0816"/>
    <s v="%"/>
    <s v="2000/100"/>
    <m/>
    <m/>
    <n v="5895.6"/>
    <n v="5306.0400000000009"/>
    <n v="7369.5"/>
    <n v="6264.0749999999998"/>
  </r>
  <r>
    <x v="225"/>
    <s v="A"/>
    <s v="M-Class (W164) 4x4 (без электрики)"/>
    <s v="2005-2011"/>
    <m/>
    <s v="0837"/>
    <s v="%"/>
    <s v="1500/75"/>
    <s v="022-007"/>
    <m/>
    <n v="9460"/>
    <n v="8514"/>
    <n v="11825"/>
    <n v="10051.25"/>
  </r>
  <r>
    <x v="226"/>
    <s v="AK41"/>
    <s v="M-Class (W164, W166) 4x4 (без электрики)"/>
    <s v="2005-2011"/>
    <s v="Нов. 2016"/>
    <s v="0100.3890.049"/>
    <s v="%"/>
    <s v="3500/140"/>
    <s v="022-007"/>
    <m/>
    <n v="21828"/>
    <n v="19645.2"/>
    <n v="27285"/>
    <n v="23192.25"/>
  </r>
  <r>
    <x v="227"/>
    <s v="F"/>
    <s v="Sprinter II minibus, van                                             Volkswagen Crafter minivan , van (без электрики)"/>
    <s v="2006/5-                                                                                                                                                                                                                             2006-"/>
    <m/>
    <s v="0049"/>
    <m/>
    <s v="2000/100"/>
    <s v="022-007"/>
    <m/>
    <n v="7880"/>
    <n v="7092"/>
    <n v="9850"/>
    <n v="8372.5"/>
  </r>
  <r>
    <x v="228"/>
    <s v="F"/>
    <s v="Sprinter Classic база 5640мм без ступеньки  (без электрики)"/>
    <s v="2013-"/>
    <m/>
    <s v="0049"/>
    <m/>
    <s v="2500/120"/>
    <m/>
    <m/>
    <n v="7800"/>
    <n v="7020"/>
    <n v="9750"/>
    <n v="8287.5"/>
  </r>
  <r>
    <x v="0"/>
    <m/>
    <s v="MITSUBISHI"/>
    <m/>
    <m/>
    <m/>
    <m/>
    <m/>
    <m/>
    <m/>
    <m/>
    <m/>
    <m/>
    <m/>
  </r>
  <r>
    <x v="52"/>
    <s v="A"/>
    <s v="ASX"/>
    <s v="2010-"/>
    <m/>
    <s v="0873"/>
    <s v="%"/>
    <s v="1400/50 "/>
    <m/>
    <m/>
    <n v="5416.2"/>
    <n v="4874.58"/>
    <n v="6770.25"/>
    <n v="5754.7124999999996"/>
  </r>
  <r>
    <x v="229"/>
    <s v="F"/>
    <s v="L-200                                                                                                              L-200 Triton (с отбойным брусом)"/>
    <s v="2007-2014, 2015-"/>
    <m/>
    <s v="0049"/>
    <m/>
    <s v="1500/75"/>
    <m/>
    <m/>
    <n v="9500"/>
    <n v="8550"/>
    <n v="11875"/>
    <n v="10093.75"/>
  </r>
  <r>
    <x v="230"/>
    <s v="F"/>
    <s v="L200 "/>
    <s v="2007-2014, 2015-"/>
    <m/>
    <s v="0049"/>
    <m/>
    <s v="1400/50 "/>
    <m/>
    <s v="Bosal Power*"/>
    <n v="14565.6"/>
    <n v="13109.04"/>
    <n v="18207"/>
    <n v="15475.949999999999"/>
  </r>
  <r>
    <x v="231"/>
    <s v="F"/>
    <s v="L200  (без электрики)"/>
    <s v="2014-2015"/>
    <m/>
    <s v="0049"/>
    <m/>
    <s v="1500/75"/>
    <s v="022-007"/>
    <m/>
    <n v="8900"/>
    <n v="8010"/>
    <n v="11125"/>
    <n v="9456.25"/>
  </r>
  <r>
    <x v="232"/>
    <s v="A"/>
    <s v="Lancer HB, sedan, wagon"/>
    <s v="2004-2007"/>
    <m/>
    <s v="0148"/>
    <m/>
    <s v="1200/80"/>
    <m/>
    <m/>
    <n v="6069"/>
    <n v="5462.1"/>
    <n v="7586.25"/>
    <n v="6448.3125"/>
  </r>
  <r>
    <x v="233"/>
    <s v="A"/>
    <s v="Lancer sedan"/>
    <s v="2007-2011_x000a_2012- двиг 1.8л"/>
    <m/>
    <s v="0208"/>
    <m/>
    <s v="1200/50"/>
    <m/>
    <m/>
    <n v="6069"/>
    <n v="5462.1"/>
    <n v="7586.25"/>
    <n v="6448.3125"/>
  </r>
  <r>
    <x v="234"/>
    <s v="A"/>
    <s v="Lancer Sedan (двигатель1,6L) (без электрики)"/>
    <s v="2012-"/>
    <m/>
    <s v="0208"/>
    <m/>
    <s v="1200/50"/>
    <m/>
    <m/>
    <n v="6069"/>
    <n v="5462.1"/>
    <n v="7586.25"/>
    <n v="6448.3125"/>
  </r>
  <r>
    <x v="235"/>
    <s v="A"/>
    <s v="Outlander 4x4                                                                                                 Airtrek 4x4"/>
    <s v="2003-2006/10"/>
    <m/>
    <s v="0810"/>
    <m/>
    <s v="1500/75"/>
    <m/>
    <m/>
    <n v="7364.4000000000005"/>
    <n v="6627.9600000000009"/>
    <n v="9205.5"/>
    <n v="7824.6750000000002"/>
  </r>
  <r>
    <x v="236"/>
    <s v="A"/>
    <s v="Outlander (без электрики)"/>
    <s v="2012-2015   2015-"/>
    <m/>
    <s v="8135"/>
    <s v=" "/>
    <s v="1700/75"/>
    <s v="022-007"/>
    <m/>
    <n v="8160"/>
    <n v="7344"/>
    <n v="10200"/>
    <n v="8670"/>
  </r>
  <r>
    <x v="56"/>
    <s v="C"/>
    <s v="Outlander XL 7 4x4 (без электрики)"/>
    <s v="2006/11-2013"/>
    <m/>
    <s v="0255"/>
    <m/>
    <s v="1500/50"/>
    <s v="022-007"/>
    <m/>
    <n v="11964.6"/>
    <n v="10768.140000000001"/>
    <n v="14955.75"/>
    <n v="12712.387499999999"/>
  </r>
  <r>
    <x v="57"/>
    <s v="E"/>
    <s v="Outlander XL 7 4x4 (без электрики)"/>
    <s v="2006/11-2013"/>
    <s v="Нов.2015"/>
    <m/>
    <m/>
    <s v="1500/50"/>
    <s v="022-007"/>
    <m/>
    <n v="7792.8"/>
    <n v="7013.52"/>
    <n v="9741"/>
    <n v="8279.85"/>
  </r>
  <r>
    <x v="237"/>
    <s v="F"/>
    <s v="Pajero IV 4x4 (с мая 2012)"/>
    <s v=" 2007-"/>
    <m/>
    <s v="0049"/>
    <m/>
    <s v="2500/100"/>
    <m/>
    <m/>
    <n v="8650"/>
    <n v="7785"/>
    <n v="10812.5"/>
    <n v="9190.625"/>
  </r>
  <r>
    <x v="238"/>
    <s v="A"/>
    <s v="Pajero III 4x4                                                                                              Pajero IV 4x4"/>
    <s v="2000/3-2007/1                                                                                                                                                                                                                          2007/2-"/>
    <m/>
    <s v="0857"/>
    <s v="%"/>
    <s v="1300/75 "/>
    <m/>
    <m/>
    <n v="6589.2"/>
    <n v="5930.28"/>
    <n v="8236.5"/>
    <n v="7001.0249999999996"/>
  </r>
  <r>
    <x v="239"/>
    <s v="A"/>
    <s v="Pajero Pinin 4x4"/>
    <s v="1999-2005"/>
    <m/>
    <s v="0160"/>
    <m/>
    <s v="1500/100"/>
    <m/>
    <m/>
    <n v="5997.6"/>
    <n v="5397.84"/>
    <n v="7497"/>
    <n v="6372.45"/>
  </r>
  <r>
    <x v="240"/>
    <s v="F"/>
    <s v="Pajero Sport 4x4                                                                                                                     Montero Sport 4x4"/>
    <s v="1998-2008"/>
    <m/>
    <s v="0049"/>
    <m/>
    <s v="2000/100"/>
    <m/>
    <m/>
    <n v="7578.6"/>
    <n v="6820.7400000000007"/>
    <n v="9473.25"/>
    <n v="8052.2624999999998"/>
  </r>
  <r>
    <x v="241"/>
    <s v="A"/>
    <s v="Pajero Sport 4x4"/>
    <s v="2008-"/>
    <m/>
    <s v="0140"/>
    <m/>
    <s v="1500/75"/>
    <m/>
    <m/>
    <n v="5950"/>
    <n v="5355"/>
    <n v="7437.5"/>
    <n v="6321.875"/>
  </r>
  <r>
    <x v="242"/>
    <s v="A"/>
    <s v="Pajero Sport 4x4"/>
    <s v="2009-"/>
    <m/>
    <s v="0856"/>
    <m/>
    <s v="1500/75"/>
    <m/>
    <s v="Bosal Power*"/>
    <n v="14392.2"/>
    <n v="12952.980000000001"/>
    <n v="17990.25"/>
    <n v="15291.7125"/>
  </r>
  <r>
    <x v="0"/>
    <m/>
    <s v="NISSAN"/>
    <m/>
    <m/>
    <m/>
    <m/>
    <m/>
    <m/>
    <m/>
    <m/>
    <m/>
    <m/>
    <m/>
  </r>
  <r>
    <x v="243"/>
    <s v="A"/>
    <s v="Almera sedan "/>
    <s v="2000/3-2007"/>
    <m/>
    <s v="0216"/>
    <s v="%"/>
    <s v="1200/75"/>
    <m/>
    <m/>
    <n v="6079.2"/>
    <n v="5471.28"/>
    <n v="7599"/>
    <n v="6459.15"/>
  </r>
  <r>
    <x v="244"/>
    <s v="A"/>
    <s v="Almera Classic sedan "/>
    <s v="2006-"/>
    <m/>
    <s v="0808"/>
    <s v="%"/>
    <s v="1000/50"/>
    <m/>
    <m/>
    <n v="6293.4000000000005"/>
    <n v="5664.06"/>
    <n v="7866.7500000000009"/>
    <n v="6686.7375000000002"/>
  </r>
  <r>
    <x v="245"/>
    <s v="A"/>
    <s v="Almera  (без электрики)"/>
    <s v="2013-"/>
    <m/>
    <s v="8883"/>
    <m/>
    <s v="1200/75_x000a_"/>
    <m/>
    <m/>
    <n v="6293.4000000000005"/>
    <n v="5664.06"/>
    <n v="7866.7500000000009"/>
    <n v="6686.7375000000002"/>
  </r>
  <r>
    <x v="246"/>
    <s v="A"/>
    <s v="Juke (2WD)"/>
    <s v="2010-"/>
    <m/>
    <s v="0181"/>
    <s v="%"/>
    <s v="1000/50"/>
    <m/>
    <m/>
    <n v="6089.4000000000005"/>
    <n v="5480.4600000000009"/>
    <n v="7611.7500000000009"/>
    <n v="6469.9875000000002"/>
  </r>
  <r>
    <x v="247"/>
    <s v="A"/>
    <s v="Juke (4WD) (без электрики)"/>
    <s v="2010-"/>
    <m/>
    <s v="8181"/>
    <s v="%"/>
    <s v="1000/50"/>
    <s v="022-007"/>
    <m/>
    <n v="6089.4000000000005"/>
    <n v="5480.4600000000009"/>
    <n v="7611.7500000000009"/>
    <n v="6469.9875000000002"/>
  </r>
  <r>
    <x v="248"/>
    <s v="A"/>
    <s v="Murano 4x4 "/>
    <s v="2005-2008"/>
    <m/>
    <s v="0830"/>
    <m/>
    <s v="1500/80"/>
    <m/>
    <m/>
    <n v="6813.6"/>
    <n v="6132.2400000000007"/>
    <n v="8517"/>
    <n v="7239.45"/>
  </r>
  <r>
    <x v="249"/>
    <s v="A"/>
    <s v="Murano 4x4 "/>
    <s v="2008/8-"/>
    <m/>
    <s v="0869"/>
    <s v="%"/>
    <s v="1500/75"/>
    <m/>
    <m/>
    <n v="6813.6"/>
    <n v="6132.2400000000007"/>
    <n v="8517"/>
    <n v="7239.45"/>
  </r>
  <r>
    <x v="250"/>
    <s v="F"/>
    <s v="Navara pick-up (бампер со ступенькой)"/>
    <s v="2005-"/>
    <m/>
    <s v="0049"/>
    <m/>
    <s v="2000/100"/>
    <m/>
    <m/>
    <n v="8400"/>
    <n v="7560"/>
    <n v="10500"/>
    <n v="8925"/>
  </r>
  <r>
    <x v="251"/>
    <s v="A"/>
    <s v="Note minivan"/>
    <s v="2006-"/>
    <m/>
    <s v="0835"/>
    <s v="%"/>
    <s v="1100/50"/>
    <m/>
    <m/>
    <n v="6375"/>
    <n v="5737.5"/>
    <n v="7968.75"/>
    <n v="6773.4375"/>
  </r>
  <r>
    <x v="252"/>
    <s v="A"/>
    <s v="NP300 pick-up"/>
    <s v="2008/6-"/>
    <m/>
    <s v="0491"/>
    <m/>
    <s v="2000/75"/>
    <m/>
    <m/>
    <n v="7537.8"/>
    <n v="6784.02"/>
    <n v="9422.25"/>
    <n v="8008.9124999999995"/>
  </r>
  <r>
    <x v="253"/>
    <s v="A"/>
    <s v="Pathfinder (R51)"/>
    <s v="2005/4-2014"/>
    <m/>
    <s v="0820"/>
    <s v="%"/>
    <s v="1500/75"/>
    <m/>
    <m/>
    <n v="4304.3999999999996"/>
    <n v="3873.9599999999996"/>
    <n v="5380.5"/>
    <n v="4573.4250000000002"/>
  </r>
  <r>
    <x v="254"/>
    <s v="A"/>
    <s v="Pathfinder (R52) (без электрики)"/>
    <s v="2014-"/>
    <m/>
    <s v="8820"/>
    <s v="%"/>
    <s v="1250/75"/>
    <s v="022-007"/>
    <m/>
    <n v="6640"/>
    <n v="5976"/>
    <n v="8300"/>
    <n v="7055"/>
  </r>
  <r>
    <x v="255"/>
    <s v="A"/>
    <s v="Patrol GR 4x4 "/>
    <s v="1998-2009"/>
    <m/>
    <s v="0491"/>
    <m/>
    <s v="2000/75"/>
    <m/>
    <m/>
    <n v="7089"/>
    <n v="6380.1"/>
    <n v="8861.25"/>
    <n v="7532.0625"/>
  </r>
  <r>
    <x v="256"/>
    <s v="V"/>
    <s v="Patrol GR 4x4 "/>
    <s v="1998-2009"/>
    <m/>
    <s v="7808"/>
    <m/>
    <s v="3500/120"/>
    <m/>
    <m/>
    <n v="7803"/>
    <n v="7022.7"/>
    <n v="9753.75"/>
    <n v="8290.6875"/>
  </r>
  <r>
    <x v="257"/>
    <s v="F"/>
    <s v="Patrol (без электрики)"/>
    <s v="2010-"/>
    <m/>
    <s v="0049"/>
    <m/>
    <s v="1500/75"/>
    <s v="022-007"/>
    <m/>
    <n v="9850"/>
    <n v="8865"/>
    <n v="12312.5"/>
    <n v="10465.625"/>
  </r>
  <r>
    <x v="258"/>
    <s v="A"/>
    <s v="Primera HB, sedan "/>
    <s v="2002/3-2009"/>
    <m/>
    <s v="0189"/>
    <s v="%"/>
    <s v="1500/75"/>
    <m/>
    <m/>
    <n v="5406"/>
    <n v="4865.4000000000005"/>
    <n v="6757.5"/>
    <n v="5743.875"/>
  </r>
  <r>
    <x v="259"/>
    <s v="A"/>
    <s v="Qashgai, Qashqai+2 minivan"/>
    <s v="2007-2014       2014-"/>
    <m/>
    <s v="0888"/>
    <s v="%"/>
    <s v="1100/50"/>
    <s v="022-007 с 2014г."/>
    <m/>
    <n v="7415.4000000000005"/>
    <n v="6673.8600000000006"/>
    <n v="9269.25"/>
    <n v="7878.8625000000002"/>
  </r>
  <r>
    <x v="260"/>
    <s v="A"/>
    <s v="Sentra (без электрики)"/>
    <s v="2014-"/>
    <m/>
    <s v="8173"/>
    <s v="%"/>
    <s v="1000/75"/>
    <m/>
    <m/>
    <n v="5212.2"/>
    <n v="4690.9799999999996"/>
    <n v="6515.25"/>
    <n v="5537.9624999999996"/>
  </r>
  <r>
    <x v="261"/>
    <s v="A"/>
    <s v="Terrano (без электрики)"/>
    <s v="2014-"/>
    <m/>
    <s v="0832"/>
    <s v="%"/>
    <s v="1500/75"/>
    <m/>
    <m/>
    <n v="5538.6"/>
    <n v="4984.7400000000007"/>
    <n v="6923.25"/>
    <n v="5884.7624999999998"/>
  </r>
  <r>
    <x v="262"/>
    <s v="A"/>
    <s v="Tiida HB, sedan "/>
    <s v="2007/2-2014"/>
    <m/>
    <s v="0865"/>
    <s v="%"/>
    <s v="1100/50"/>
    <m/>
    <m/>
    <n v="6069"/>
    <n v="5462.1"/>
    <n v="7586.25"/>
    <n v="6448.3125"/>
  </r>
  <r>
    <x v="263"/>
    <s v="A"/>
    <s v="Tiida HB   (без электрики)"/>
    <s v="2015-"/>
    <s v="Нов. 2015"/>
    <s v="8865"/>
    <m/>
    <s v="1000/75"/>
    <s v="022-007"/>
    <m/>
    <n v="5650.8"/>
    <n v="5085.72"/>
    <n v="7063.5"/>
    <n v="6003.9749999999995"/>
  </r>
  <r>
    <x v="264"/>
    <s v="A"/>
    <s v="X-Trail 4x4 (T30)"/>
    <s v="2001/9-2007/6"/>
    <m/>
    <s v="0188"/>
    <s v="%"/>
    <s v="1500/100"/>
    <m/>
    <m/>
    <n v="7537.8"/>
    <n v="6784.02"/>
    <n v="9422.25"/>
    <n v="8008.9124999999995"/>
  </r>
  <r>
    <x v="265"/>
    <s v="A"/>
    <s v="X-Trail 4x4 (T31)"/>
    <s v="2007/7-2015"/>
    <m/>
    <s v="0155"/>
    <m/>
    <s v="1500/75"/>
    <m/>
    <m/>
    <n v="7639.8"/>
    <n v="6875.8200000000006"/>
    <n v="9549.75"/>
    <n v="8117.2874999999995"/>
  </r>
  <r>
    <x v="266"/>
    <s v="A"/>
    <s v="X-Trail 4x4 (T32) (без электрики)"/>
    <s v="2015-"/>
    <s v="Нов.2015"/>
    <s v="8852"/>
    <m/>
    <s v="2000/100"/>
    <s v="022-007"/>
    <m/>
    <n v="7313.4000000000005"/>
    <n v="6582.06"/>
    <n v="9141.75"/>
    <n v="7770.4875000000002"/>
  </r>
  <r>
    <x v="0"/>
    <m/>
    <s v="OPEL"/>
    <m/>
    <m/>
    <m/>
    <m/>
    <m/>
    <m/>
    <m/>
    <m/>
    <m/>
    <m/>
    <m/>
  </r>
  <r>
    <x v="267"/>
    <s v="A"/>
    <s v="Antara 4x4 (без электрики)"/>
    <s v="2006/7-"/>
    <m/>
    <s v="0491"/>
    <m/>
    <s v="1500/50"/>
    <s v="022-007"/>
    <m/>
    <n v="6783"/>
    <n v="6104.7"/>
    <n v="8478.75"/>
    <n v="7206.9375"/>
  </r>
  <r>
    <x v="268"/>
    <s v="A"/>
    <s v="Astra H (Family) HB (без электрики)"/>
    <s v="2004/3-"/>
    <m/>
    <s v="0840"/>
    <m/>
    <s v="1200/60"/>
    <s v="022-007"/>
    <m/>
    <n v="5763"/>
    <n v="5186.7"/>
    <n v="7203.75"/>
    <n v="6123.1875"/>
  </r>
  <r>
    <x v="269"/>
    <s v="A"/>
    <s v="Astra H (Family) sedan (без электрики)"/>
    <s v="2007-"/>
    <m/>
    <s v="0829"/>
    <m/>
    <s v="1300/60"/>
    <s v="022-007"/>
    <m/>
    <n v="6436.2"/>
    <n v="5792.58"/>
    <n v="8045.25"/>
    <n v="6838.4624999999996"/>
  </r>
  <r>
    <x v="270"/>
    <s v="A"/>
    <s v="Astra J HB (без электрики)"/>
    <s v="2009/09-"/>
    <m/>
    <m/>
    <s v="%"/>
    <s v="1500/75"/>
    <s v="022-007, 030-239"/>
    <m/>
    <n v="7252.2"/>
    <n v="6526.98"/>
    <n v="9065.25"/>
    <n v="7705.4624999999996"/>
  </r>
  <r>
    <x v="271"/>
    <s v="A"/>
    <s v="Astra J HB (без электрики)"/>
    <s v="2009/09-"/>
    <m/>
    <s v="0854"/>
    <s v="%"/>
    <s v="1300/50"/>
    <s v="022-007, 030-238"/>
    <m/>
    <n v="5559"/>
    <n v="5003.1000000000004"/>
    <n v="6948.75"/>
    <n v="5906.4375"/>
  </r>
  <r>
    <x v="272"/>
    <s v="A"/>
    <s v="Astra J Sport Tourer (без электрики)"/>
    <s v="10/2010 -"/>
    <m/>
    <s v="0867"/>
    <s v="%"/>
    <s v="1300/50"/>
    <s v="022-007, 030-238"/>
    <m/>
    <n v="5967"/>
    <n v="5370.3"/>
    <n v="7458.75"/>
    <n v="6339.9375"/>
  </r>
  <r>
    <x v="273"/>
    <s v="A"/>
    <s v="Astra J Sedan исключая комплектацию Cosmo  (без электрики)"/>
    <s v="10/2012-"/>
    <m/>
    <s v="8814"/>
    <m/>
    <s v="1300/75"/>
    <s v="022-007, 030-238"/>
    <m/>
    <n v="5844.6"/>
    <n v="5260.14"/>
    <n v="7305.75"/>
    <n v="6209.8874999999998"/>
  </r>
  <r>
    <x v="274"/>
    <s v="A"/>
    <s v="Combo minivan"/>
    <s v="2004-2012"/>
    <m/>
    <s v="0701"/>
    <m/>
    <s v="1200/50"/>
    <m/>
    <m/>
    <n v="5059.2"/>
    <n v="4553.28"/>
    <n v="6324"/>
    <n v="5375.4"/>
  </r>
  <r>
    <x v="275"/>
    <s v="A"/>
    <s v="Insignia sedan / HB (без электрики)"/>
    <s v="2009-"/>
    <m/>
    <s v="0867"/>
    <m/>
    <s v="1500/50"/>
    <s v="022-007"/>
    <m/>
    <n v="3886.2000000000003"/>
    <n v="3497.5800000000004"/>
    <n v="4857.75"/>
    <n v="4129.0874999999996"/>
  </r>
  <r>
    <x v="276"/>
    <s v="A"/>
    <s v="Insignia wagon (без электрики)"/>
    <s v="2009-"/>
    <s v="Распродажа остатков"/>
    <s v="0701"/>
    <s v="%"/>
    <s v="1500/50"/>
    <s v="022-007, 030-238"/>
    <m/>
    <n v="2242.98"/>
    <s v="Без скидки"/>
    <n v="2803.7249999999999"/>
    <m/>
  </r>
  <r>
    <x v="277"/>
    <s v="A"/>
    <s v="Meriva minivan (без электрики)"/>
    <s v="2003-2010"/>
    <m/>
    <s v="0185"/>
    <s v="%"/>
    <s v="1300/60"/>
    <s v="022-007"/>
    <m/>
    <n v="4304.3999999999996"/>
    <n v="3873.9599999999996"/>
    <n v="5380.5"/>
    <n v="4573.4250000000002"/>
  </r>
  <r>
    <x v="278"/>
    <s v="A"/>
    <s v="Meriva B (без электрики)"/>
    <s v="2010 -"/>
    <m/>
    <s v="0135"/>
    <s v="вырез по необход-ти"/>
    <s v="1200/50"/>
    <s v="022-007, 030-238"/>
    <m/>
    <n v="4885.8"/>
    <n v="4397.22"/>
    <n v="6107.25"/>
    <n v="5191.1624999999995"/>
  </r>
  <r>
    <x v="279"/>
    <s v="A"/>
    <s v="Mokka (без электрики)"/>
    <s v="2012-"/>
    <m/>
    <s v="8885"/>
    <s v="%"/>
    <m/>
    <s v="022-007, 030-238"/>
    <m/>
    <n v="5997.6"/>
    <n v="5397.84"/>
    <n v="7497"/>
    <n v="6372.45"/>
  </r>
  <r>
    <x v="280"/>
    <s v="A"/>
    <s v="Zafira B minivan (без электрики)          исключая а/м с парктроником"/>
    <s v="2005-"/>
    <m/>
    <s v="0160"/>
    <s v="%"/>
    <s v="1500/75"/>
    <s v="022-007"/>
    <m/>
    <n v="5661"/>
    <n v="5094.9000000000005"/>
    <n v="7076.25"/>
    <n v="6014.8125"/>
  </r>
  <r>
    <x v="281"/>
    <s v="A"/>
    <s v="Zafira C tourer (без электрики)"/>
    <s v="2012-"/>
    <m/>
    <s v="8877"/>
    <s v="вырез по необход-ти"/>
    <s v="1500/75"/>
    <s v="022-007, 030-238"/>
    <m/>
    <n v="5661"/>
    <n v="5094.9000000000005"/>
    <n v="7076.25"/>
    <n v="6014.8125"/>
  </r>
  <r>
    <x v="0"/>
    <m/>
    <s v="PEUGEOT"/>
    <m/>
    <m/>
    <m/>
    <m/>
    <m/>
    <m/>
    <m/>
    <m/>
    <m/>
    <m/>
    <m/>
  </r>
  <r>
    <x v="49"/>
    <s v="A"/>
    <s v="307 / 308  HB                                                                           Citroen C4 HB (без электрики)"/>
    <s v="2001-             2004-2011"/>
    <s v="Распродажа остатков"/>
    <s v="0854"/>
    <s v="%"/>
    <s v="1200/50"/>
    <s v="022-007"/>
    <m/>
    <n v="6160.8"/>
    <n v="5544.72"/>
    <n v="7701"/>
    <n v="6545.8499999999995"/>
  </r>
  <r>
    <x v="54"/>
    <s v="A"/>
    <s v="308 HB, 09/07-08/08, 10/2008-_x000a_307 HB, 01-5/05, 6/05-9/07 (series II)_x000a_Citroen C4 HB I 04-06, 07-11 "/>
    <s v="10/2008-_x000a_6/05-9/07_x000a_2004-2011"/>
    <m/>
    <s v="0876"/>
    <s v="%"/>
    <s v="1200/75"/>
    <s v="022-007 для Peugeot 308"/>
    <m/>
    <n v="5365.2"/>
    <n v="4828.68"/>
    <n v="6706.5"/>
    <n v="5700.5249999999996"/>
  </r>
  <r>
    <x v="56"/>
    <s v="C"/>
    <s v="4007 (без электрики)"/>
    <s v="2007-"/>
    <m/>
    <s v="0255"/>
    <m/>
    <s v="1500/50"/>
    <s v="022-007"/>
    <m/>
    <n v="11964.6"/>
    <n v="10768.140000000001"/>
    <n v="14955.75"/>
    <n v="12712.387499999999"/>
  </r>
  <r>
    <x v="57"/>
    <s v="E"/>
    <s v="4007 (без электрики)"/>
    <s v="2007-"/>
    <s v="Нов.2015"/>
    <m/>
    <m/>
    <s v="1500/50"/>
    <s v="022-007"/>
    <m/>
    <n v="7792.8"/>
    <n v="7013.52"/>
    <n v="9741"/>
    <n v="8279.85"/>
  </r>
  <r>
    <x v="282"/>
    <s v="A"/>
    <s v="408  (без электрики)"/>
    <s v="2012-"/>
    <m/>
    <s v="8884"/>
    <m/>
    <s v="1200/75"/>
    <s v="022-007"/>
    <m/>
    <n v="5997.6"/>
    <n v="5397.84"/>
    <n v="7497"/>
    <n v="6372.45"/>
  </r>
  <r>
    <x v="52"/>
    <s v="A"/>
    <n v="4008"/>
    <s v="2010-"/>
    <m/>
    <s v="0873"/>
    <s v="%"/>
    <s v="1400/50 "/>
    <m/>
    <m/>
    <n v="5416.2"/>
    <n v="4874.58"/>
    <n v="6770.25"/>
    <n v="5754.7124999999996"/>
  </r>
  <r>
    <x v="51"/>
    <s v="A"/>
    <s v="Berlingo II minivan, van                                                                                              Peugeot Partner  II minivan, van   Короткая база (4380мм.)                       (без электрики)"/>
    <s v="2008/05-"/>
    <m/>
    <s v="0867"/>
    <m/>
    <s v="1200/50"/>
    <s v="022-007"/>
    <m/>
    <n v="5395.8"/>
    <n v="4856.22"/>
    <n v="6744.75"/>
    <n v="5733.0374999999995"/>
  </r>
  <r>
    <x v="58"/>
    <s v="F"/>
    <s v="Boxer III                                                    Fiat Ducato IV, Citroen Jumper III"/>
    <s v="2006-"/>
    <m/>
    <s v="0049"/>
    <m/>
    <s v="2000/100"/>
    <s v="022-007"/>
    <m/>
    <n v="9500"/>
    <n v="8550"/>
    <n v="11875"/>
    <n v="10093.75"/>
  </r>
  <r>
    <x v="283"/>
    <s v="F"/>
    <s v="Boxer III                                                    Fiat Ducato IV, Citroen Jumper III (без электрики)"/>
    <s v="2006-"/>
    <m/>
    <m/>
    <m/>
    <s v="3000/150"/>
    <s v="022-007"/>
    <m/>
    <n v="10404"/>
    <n v="9363.6"/>
    <n v="13005"/>
    <n v="11054.25"/>
  </r>
  <r>
    <x v="50"/>
    <s v="A"/>
    <s v="Partner I minivan, van                                                                                                                        Citroen Berlingo I minivan, van"/>
    <s v="1996-2008"/>
    <m/>
    <s v="0164"/>
    <s v="%"/>
    <s v="1100/75"/>
    <m/>
    <m/>
    <n v="6069"/>
    <n v="5462.1"/>
    <n v="7586.25"/>
    <n v="6448.3125"/>
  </r>
  <r>
    <x v="0"/>
    <m/>
    <s v="PORSCHE"/>
    <m/>
    <m/>
    <m/>
    <m/>
    <m/>
    <m/>
    <m/>
    <m/>
    <m/>
    <m/>
    <m/>
  </r>
  <r>
    <x v="284"/>
    <s v="A"/>
    <s v="Cayenne 4x4 (без электрики)"/>
    <s v="2002/12-      "/>
    <m/>
    <s v="0220"/>
    <s v="%"/>
    <s v="1500/75"/>
    <s v="022-007"/>
    <m/>
    <n v="9078"/>
    <n v="8170.2"/>
    <n v="11347.5"/>
    <n v="9645.375"/>
  </r>
  <r>
    <x v="9"/>
    <s v="A"/>
    <s v="Cayenne 4x4 (без электрики) "/>
    <s v="2002- "/>
    <s v="Нов. 2016"/>
    <s v="8891"/>
    <s v="%"/>
    <s v="3500/140"/>
    <s v="022-007"/>
    <m/>
    <n v="7038"/>
    <n v="6334.2"/>
    <n v="8797.5"/>
    <n v="7477.875"/>
  </r>
  <r>
    <x v="10"/>
    <s v="AK6"/>
    <s v="Cayenne 4x4 (без электрики)"/>
    <s v="2002-  "/>
    <s v="Нов. 2015"/>
    <s v="99-4285-4416"/>
    <s v="%"/>
    <s v="3500/140"/>
    <s v="022-008"/>
    <m/>
    <n v="15100"/>
    <n v="13590"/>
    <n v="18875"/>
    <n v="16043.75"/>
  </r>
  <r>
    <x v="285"/>
    <s v="A"/>
    <s v="Macan (без электрики)"/>
    <s v="2013-"/>
    <s v="Нов.2015"/>
    <s v="8863"/>
    <s v="%"/>
    <s v="2000/100"/>
    <s v="022-007"/>
    <m/>
    <n v="9078"/>
    <n v="8170.2"/>
    <n v="11347.5"/>
    <n v="9645.375"/>
  </r>
  <r>
    <x v="0"/>
    <m/>
    <s v="RENAULT"/>
    <m/>
    <m/>
    <m/>
    <m/>
    <m/>
    <m/>
    <m/>
    <m/>
    <m/>
    <m/>
    <m/>
  </r>
  <r>
    <x v="286"/>
    <s v="A"/>
    <s v="Clio II "/>
    <s v="1999-2014"/>
    <m/>
    <s v="0300"/>
    <m/>
    <s v="1000/75"/>
    <m/>
    <m/>
    <n v="5500"/>
    <n v="4950"/>
    <n v="6875"/>
    <n v="5843.75"/>
  </r>
  <r>
    <x v="287"/>
    <s v="A"/>
    <s v="Duster"/>
    <s v="2012-2015"/>
    <m/>
    <s v="0832"/>
    <s v="%"/>
    <s v="1300/75"/>
    <m/>
    <m/>
    <n v="5671.2"/>
    <n v="5104.08"/>
    <n v="7089"/>
    <n v="6025.65"/>
  </r>
  <r>
    <x v="261"/>
    <s v="A"/>
    <s v="Duster (без электрики)"/>
    <s v="2015-"/>
    <m/>
    <s v="0832"/>
    <s v="%"/>
    <s v="1500/75"/>
    <m/>
    <m/>
    <n v="5538.6"/>
    <n v="4984.7400000000007"/>
    <n v="6923.25"/>
    <n v="5884.7624999999998"/>
  </r>
  <r>
    <x v="288"/>
    <s v="A"/>
    <s v="Fluence"/>
    <s v="2011-"/>
    <m/>
    <s v="0826 "/>
    <s v="%"/>
    <s v="1200/75 "/>
    <s v="022-007"/>
    <m/>
    <n v="5304"/>
    <n v="4773.6000000000004"/>
    <n v="6630"/>
    <n v="5635.5"/>
  </r>
  <r>
    <x v="289"/>
    <s v="A"/>
    <s v="Kangoo II minivan (в России с 2010) (без электрики)"/>
    <s v="2008-"/>
    <m/>
    <s v="0822"/>
    <m/>
    <s v="1100/50"/>
    <s v="022-007"/>
    <m/>
    <n v="5752.8"/>
    <n v="5177.5200000000004"/>
    <n v="7191"/>
    <n v="6112.3499999999995"/>
  </r>
  <r>
    <x v="290"/>
    <s v="A"/>
    <s v="Koleos  4x4"/>
    <s v="2008-"/>
    <m/>
    <s v="0829"/>
    <s v="%"/>
    <s v="1500/50"/>
    <m/>
    <m/>
    <n v="4712.3999999999996"/>
    <n v="4241.16"/>
    <n v="5890.5"/>
    <n v="5006.9250000000002"/>
  </r>
  <r>
    <x v="291"/>
    <s v="A"/>
    <s v="Logan II sedan    (без электрики)"/>
    <s v="2014-"/>
    <m/>
    <s v="8814"/>
    <m/>
    <s v="1100/75"/>
    <s v="022-007"/>
    <m/>
    <n v="4222.8"/>
    <n v="3800.5200000000004"/>
    <n v="5278.5"/>
    <n v="4486.7249999999995"/>
  </r>
  <r>
    <x v="292"/>
    <s v="A"/>
    <s v="Logan II sedan    (без электрики)"/>
    <s v="2014-"/>
    <m/>
    <m/>
    <m/>
    <s v="1100/75"/>
    <s v="022-007"/>
    <m/>
    <n v="6844.2"/>
    <n v="6159.78"/>
    <n v="8555.25"/>
    <n v="7271.9624999999996"/>
  </r>
  <r>
    <x v="293"/>
    <s v="A"/>
    <s v="Logan sedan                                                                               Dacia sedan"/>
    <s v=" 2005-2014                                                                                                                                                                                                                            2005/6-2014       "/>
    <m/>
    <s v="0808"/>
    <m/>
    <s v="1100/75"/>
    <m/>
    <m/>
    <n v="4222.8"/>
    <n v="3800.5200000000004"/>
    <n v="5278.5"/>
    <n v="4486.7249999999995"/>
  </r>
  <r>
    <x v="294"/>
    <s v="F"/>
    <s v="Master передний привод (без электрики)"/>
    <s v="1997-2010"/>
    <s v="Нов. 2015"/>
    <s v="0049"/>
    <m/>
    <s v="2000/120"/>
    <m/>
    <m/>
    <n v="8884.2000000000007"/>
    <n v="7995.7800000000007"/>
    <n v="11105.25"/>
    <n v="9439.4624999999996"/>
  </r>
  <r>
    <x v="295"/>
    <s v="A"/>
    <s v="Megane Classic II sedan                                                                         Megane II wagon"/>
    <s v="2003- 2008/11                                                                                                                                                                                                                           2003/9-2008"/>
    <m/>
    <s v="0852"/>
    <m/>
    <s v="1100/50"/>
    <m/>
    <m/>
    <n v="4957.2"/>
    <n v="4461.4799999999996"/>
    <n v="6196.5"/>
    <n v="5267.0249999999996"/>
  </r>
  <r>
    <x v="296"/>
    <s v="A"/>
    <s v="Megane  III HB   без электрики"/>
    <s v="2008/12-       2003-2009     2009/06-"/>
    <m/>
    <s v="0844"/>
    <m/>
    <s v="1200/50"/>
    <s v="022-007 "/>
    <m/>
    <n v="5700"/>
    <n v="5130"/>
    <n v="7125"/>
    <n v="6056.25"/>
  </r>
  <r>
    <x v="297"/>
    <s v="A"/>
    <s v="Sandero HB"/>
    <s v="2008-2014"/>
    <m/>
    <s v="0138"/>
    <s v="%"/>
    <s v="1000/50"/>
    <m/>
    <m/>
    <n v="6191.4000000000005"/>
    <n v="5572.26"/>
    <n v="7739.2500000000009"/>
    <n v="6578.3625000000002"/>
  </r>
  <r>
    <x v="291"/>
    <s v="A"/>
    <s v="Sandero HB    (без электрики)"/>
    <s v="2014-"/>
    <m/>
    <s v="8814"/>
    <s v="%"/>
    <s v="1100/75"/>
    <s v="022-007"/>
    <m/>
    <n v="4222.8"/>
    <n v="3800.5200000000004"/>
    <n v="5278.5"/>
    <n v="4486.7249999999995"/>
  </r>
  <r>
    <x v="298"/>
    <s v="A"/>
    <s v="Sandero Stepway"/>
    <s v="2010-2014"/>
    <m/>
    <n v="138"/>
    <s v="%"/>
    <s v="1000/50"/>
    <m/>
    <m/>
    <n v="5834.4000000000005"/>
    <n v="5250.9600000000009"/>
    <n v="7293.0000000000009"/>
    <n v="6199.05"/>
  </r>
  <r>
    <x v="299"/>
    <s v="A"/>
    <s v="Sandero Stepway (без электрики)"/>
    <s v="2014-"/>
    <m/>
    <n v="8814"/>
    <s v="%"/>
    <s v="1100/75"/>
    <s v="022-007"/>
    <m/>
    <n v="4400"/>
    <n v="3960"/>
    <n v="5500"/>
    <n v="4675"/>
  </r>
  <r>
    <x v="296"/>
    <s v="A"/>
    <s v="Scenic 2,Grand Scenic 2                           Sceniс 3  без электрики"/>
    <s v="2003-2009     2009/06-"/>
    <m/>
    <s v="0844"/>
    <m/>
    <s v="1200/50"/>
    <m/>
    <m/>
    <n v="5700"/>
    <n v="5130"/>
    <n v="7125"/>
    <n v="6056.25"/>
  </r>
  <r>
    <x v="286"/>
    <s v="A"/>
    <s v="Symbol sedan                                                                                                                                                                                                               Thalia sedan "/>
    <s v="1999-2014"/>
    <m/>
    <s v="0300"/>
    <m/>
    <s v="1000/75"/>
    <m/>
    <m/>
    <n v="5500"/>
    <n v="4950"/>
    <n v="6875"/>
    <n v="5843.75"/>
  </r>
  <r>
    <x v="0"/>
    <m/>
    <s v="SEAT"/>
    <m/>
    <m/>
    <m/>
    <m/>
    <m/>
    <m/>
    <m/>
    <m/>
    <m/>
    <m/>
    <m/>
  </r>
  <r>
    <x v="84"/>
    <s v="A"/>
    <s v="Alhambra minivan"/>
    <s v="1995-2000/4"/>
    <m/>
    <s v="0186"/>
    <s v="%"/>
    <s v="1500/75"/>
    <m/>
    <m/>
    <n v="6548.4000000000005"/>
    <n v="5893.56"/>
    <n v="8185.5000000000009"/>
    <n v="6957.6750000000002"/>
  </r>
  <r>
    <x v="0"/>
    <m/>
    <s v="SKODA"/>
    <m/>
    <m/>
    <m/>
    <m/>
    <m/>
    <m/>
    <m/>
    <m/>
    <m/>
    <m/>
    <m/>
  </r>
  <r>
    <x v="300"/>
    <s v="A"/>
    <s v="Fabia HB"/>
    <s v="2000-"/>
    <m/>
    <s v="0315"/>
    <s v="%"/>
    <s v="1200/75"/>
    <m/>
    <m/>
    <n v="5232.6000000000004"/>
    <n v="4709.34"/>
    <n v="6540.75"/>
    <n v="5559.6374999999998"/>
  </r>
  <r>
    <x v="301"/>
    <s v="A"/>
    <s v="Fabia sedan, wagon"/>
    <s v="2000/10-"/>
    <m/>
    <s v="0814"/>
    <s v="%"/>
    <s v="1100/50"/>
    <m/>
    <m/>
    <n v="4110.6000000000004"/>
    <n v="3699.5400000000004"/>
    <n v="5138.25"/>
    <n v="4367.5124999999998"/>
  </r>
  <r>
    <x v="302"/>
    <s v="A"/>
    <s v="Octavia I HB                                                                                                        Octavia II Tour HB                                                                                                               Octavia I wagon"/>
    <s v="1996-2011                                                                                                                                                                                                        2004/6-2012                                                                                                                                                                                                                     1998-2012"/>
    <m/>
    <s v="0164"/>
    <s v="%"/>
    <s v="1200/75"/>
    <m/>
    <m/>
    <n v="4824.6000000000004"/>
    <n v="4342.1400000000003"/>
    <n v="6030.75"/>
    <n v="5126.1374999999998"/>
  </r>
  <r>
    <x v="303"/>
    <s v="A"/>
    <s v="Octavia II HB                                                                                                   Octavia II wagon  (без электрики)   Octavia III HB "/>
    <s v="2004/6-2012                 2005-2012  2013-"/>
    <m/>
    <s v="0803"/>
    <s v="%"/>
    <s v="1200/75"/>
    <s v="022-007"/>
    <m/>
    <n v="6069"/>
    <n v="5462.1"/>
    <n v="7586.25"/>
    <n v="6448.3125"/>
  </r>
  <r>
    <x v="304"/>
    <s v="AK41"/>
    <s v="Octavia III HB (без электрики)"/>
    <s v="2013-"/>
    <s v="Нов. 2016"/>
    <s v="0120.1610.049"/>
    <s v="%"/>
    <s v="2000/80"/>
    <s v="022-007"/>
    <m/>
    <n v="19890"/>
    <n v="17901"/>
    <n v="24862.5"/>
    <n v="21133.125"/>
  </r>
  <r>
    <x v="305"/>
    <s v="A"/>
    <s v="Octavia Scout wagon   (без электрики)                                         "/>
    <s v="2007/3-2013        "/>
    <s v="Распродажа остатков"/>
    <s v="0803"/>
    <s v="%"/>
    <s v="1300/60"/>
    <s v="022-007"/>
    <m/>
    <n v="4069.8"/>
    <n v="3662.82"/>
    <n v="5087.25"/>
    <n v="4324.1624999999995"/>
  </r>
  <r>
    <x v="306"/>
    <s v="A"/>
    <s v="Rapid (без электрики)"/>
    <n v="2014"/>
    <m/>
    <m/>
    <s v="%"/>
    <s v="1500/75"/>
    <s v="022-007"/>
    <m/>
    <n v="4610.3999999999996"/>
    <n v="4149.3599999999997"/>
    <n v="5763"/>
    <n v="4898.55"/>
  </r>
  <r>
    <x v="307"/>
    <s v="A"/>
    <s v="Rapid (без электрики)"/>
    <s v="2014-"/>
    <m/>
    <m/>
    <s v="%"/>
    <s v="1500/75"/>
    <s v="022-007"/>
    <m/>
    <n v="5497.8"/>
    <n v="4948.0200000000004"/>
    <n v="6872.25"/>
    <n v="5841.4124999999995"/>
  </r>
  <r>
    <x v="308"/>
    <s v="A"/>
    <s v="Roomster minivan "/>
    <s v="2006-"/>
    <m/>
    <s v="0165"/>
    <s v="%"/>
    <s v="1200/60"/>
    <m/>
    <m/>
    <n v="5263.2"/>
    <n v="4736.88"/>
    <n v="6579"/>
    <n v="5592.15"/>
  </r>
  <r>
    <x v="309"/>
    <s v="A"/>
    <s v="Superb I sedan "/>
    <s v=" 2002-2008    "/>
    <m/>
    <s v="0182"/>
    <s v="%"/>
    <s v="1500/75"/>
    <m/>
    <m/>
    <n v="6681"/>
    <n v="6012.9000000000005"/>
    <n v="8351.25"/>
    <n v="7098.5625"/>
  </r>
  <r>
    <x v="310"/>
    <s v="A"/>
    <s v="Superb II sedan                                                                    Superb II wagon (без электрики)"/>
    <s v="2008-2015                      2010-2015"/>
    <s v="Распродажа остатков"/>
    <s v="0870"/>
    <s v="%"/>
    <s v="1500/50"/>
    <s v="022-007"/>
    <m/>
    <n v="4579.8"/>
    <n v="4121.8200000000006"/>
    <n v="5724.75"/>
    <n v="4866.0374999999995"/>
  </r>
  <r>
    <x v="311"/>
    <s v="A"/>
    <s v="Skoda Superb (без электрики)                 "/>
    <s v="2015-"/>
    <s v="Нов. 2015"/>
    <s v="8900"/>
    <s v="%"/>
    <s v="2233/100"/>
    <s v="022-007"/>
    <m/>
    <n v="6166.92"/>
    <n v="5550.2280000000001"/>
    <n v="7708.65"/>
    <n v="6552.3525"/>
  </r>
  <r>
    <x v="312"/>
    <s v="A"/>
    <s v="Yeti 4x4    (без электрики)"/>
    <s v="2009-"/>
    <m/>
    <s v="0216"/>
    <s v="%"/>
    <s v="1500/50"/>
    <s v="022-007"/>
    <m/>
    <n v="5457"/>
    <n v="4911.3"/>
    <n v="6821.25"/>
    <n v="5798.0625"/>
  </r>
  <r>
    <x v="0"/>
    <m/>
    <s v="SSANGYONG"/>
    <m/>
    <m/>
    <m/>
    <m/>
    <m/>
    <m/>
    <m/>
    <m/>
    <m/>
    <m/>
    <m/>
  </r>
  <r>
    <x v="313"/>
    <s v="A"/>
    <s v="Actyon 4x4"/>
    <s v="2006-"/>
    <m/>
    <s v="0837"/>
    <s v="%"/>
    <s v="1500/75"/>
    <m/>
    <m/>
    <n v="6956.4000000000005"/>
    <n v="6260.76"/>
    <n v="8695.5"/>
    <n v="7391.1750000000002"/>
  </r>
  <r>
    <x v="314"/>
    <s v="A"/>
    <s v="Actyon New"/>
    <s v="2010-"/>
    <m/>
    <s v="0829"/>
    <s v=" "/>
    <s v="1500/75"/>
    <m/>
    <m/>
    <n v="6895.2"/>
    <n v="6205.68"/>
    <n v="8619"/>
    <n v="7326.15"/>
  </r>
  <r>
    <x v="315"/>
    <s v="F"/>
    <s v="Actyon Sports pick-up "/>
    <s v="2006-2011"/>
    <m/>
    <s v="0049"/>
    <m/>
    <s v="2000/75"/>
    <m/>
    <m/>
    <n v="7333.8"/>
    <n v="6600.42"/>
    <n v="9167.25"/>
    <n v="7792.1624999999995"/>
  </r>
  <r>
    <x v="316"/>
    <s v="A"/>
    <s v="Kyron II 4x4"/>
    <s v="2006/9-"/>
    <m/>
    <s v="0187"/>
    <m/>
    <s v="1500/75"/>
    <m/>
    <m/>
    <n v="7354.2"/>
    <n v="6618.78"/>
    <n v="9192.75"/>
    <n v="7813.8374999999996"/>
  </r>
  <r>
    <x v="317"/>
    <s v="A"/>
    <s v="Rexton I 4x4_x000a_Kyron I 4x4"/>
    <s v="2003-2006/6"/>
    <m/>
    <s v="0137"/>
    <m/>
    <s v="2300/100"/>
    <m/>
    <m/>
    <n v="7354.2"/>
    <n v="6618.78"/>
    <n v="9192.75"/>
    <n v="7813.8374999999996"/>
  </r>
  <r>
    <x v="318"/>
    <s v="A"/>
    <s v="Rexton II 4x4        "/>
    <s v="2006/7-"/>
    <m/>
    <s v="0145"/>
    <s v="%"/>
    <s v="1500/75"/>
    <m/>
    <m/>
    <n v="7354.2"/>
    <n v="6618.78"/>
    <n v="9192.75"/>
    <n v="7813.8374999999996"/>
  </r>
  <r>
    <x v="319"/>
    <s v="A"/>
    <s v="Stavic  (без электрики)"/>
    <s v="2013-"/>
    <m/>
    <s v="8828"/>
    <m/>
    <s v="1500/75"/>
    <s v="022-007"/>
    <m/>
    <n v="6925.8"/>
    <n v="6233.22"/>
    <n v="8657.25"/>
    <n v="7358.6624999999995"/>
  </r>
  <r>
    <x v="0"/>
    <m/>
    <s v="SUBARU"/>
    <m/>
    <m/>
    <m/>
    <m/>
    <m/>
    <m/>
    <m/>
    <m/>
    <m/>
    <m/>
    <m/>
  </r>
  <r>
    <x v="320"/>
    <s v="A"/>
    <s v="Forester 4x4 "/>
    <s v="1997-2008"/>
    <m/>
    <s v="0825"/>
    <m/>
    <s v="1500/75"/>
    <m/>
    <m/>
    <n v="7303.2"/>
    <n v="6572.88"/>
    <n v="9129"/>
    <n v="7759.65"/>
  </r>
  <r>
    <x v="321"/>
    <s v="A"/>
    <s v="Forester 4x4 "/>
    <s v="2008-2013"/>
    <m/>
    <s v="0220"/>
    <m/>
    <s v="1500/50"/>
    <m/>
    <m/>
    <n v="7456.2"/>
    <n v="6710.58"/>
    <n v="9320.25"/>
    <n v="7922.2124999999996"/>
  </r>
  <r>
    <x v="322"/>
    <s v="A"/>
    <s v="Forester 4x4  (без электрики)"/>
    <s v="2013-"/>
    <m/>
    <s v="8220"/>
    <s v="%"/>
    <s v="1500/50"/>
    <s v="022-007"/>
    <m/>
    <n v="8659.7999999999993"/>
    <n v="7793.82"/>
    <n v="10824.75"/>
    <n v="9201.0375000000004"/>
  </r>
  <r>
    <x v="323"/>
    <s v="A"/>
    <s v="Outback 4x4  "/>
    <s v="2003-2009/10"/>
    <m/>
    <s v="0701"/>
    <m/>
    <s v="1500/75"/>
    <m/>
    <m/>
    <n v="7446"/>
    <n v="6701.4000000000005"/>
    <n v="9307.5"/>
    <n v="7911.375"/>
  </r>
  <r>
    <x v="324"/>
    <s v="A"/>
    <s v="Outback 4x4  "/>
    <s v="2009/11-2015"/>
    <m/>
    <s v="0159"/>
    <s v="%"/>
    <s v="1500/75"/>
    <m/>
    <m/>
    <n v="6670.8"/>
    <n v="6003.72"/>
    <n v="8338.5"/>
    <n v="7087.7249999999995"/>
  </r>
  <r>
    <x v="325"/>
    <s v="A"/>
    <s v="Out back 4x4 (без электрики)"/>
    <s v="2015-"/>
    <s v="Нов. 2015"/>
    <s v="8159"/>
    <s v="%"/>
    <s v="1800/75"/>
    <s v="022-007"/>
    <m/>
    <n v="6120"/>
    <n v="5508"/>
    <n v="7650"/>
    <n v="6502.5"/>
  </r>
  <r>
    <x v="326"/>
    <s v="A"/>
    <s v="Tribeca 4x4"/>
    <s v="2008-"/>
    <m/>
    <s v="0186"/>
    <m/>
    <s v="1500/75"/>
    <m/>
    <m/>
    <n v="6548.4000000000005"/>
    <n v="5893.56"/>
    <n v="8185.5000000000009"/>
    <n v="6957.6750000000002"/>
  </r>
  <r>
    <x v="327"/>
    <s v="A"/>
    <s v="XV 4x4 (без электрики)"/>
    <s v="2011-          2016-"/>
    <m/>
    <s v="8814"/>
    <s v="%"/>
    <s v="1500/50"/>
    <s v="022-007"/>
    <m/>
    <n v="7191"/>
    <n v="6471.9000000000005"/>
    <n v="8988.75"/>
    <n v="7640.4375"/>
  </r>
  <r>
    <x v="0"/>
    <m/>
    <s v="SUZUKI"/>
    <m/>
    <m/>
    <m/>
    <m/>
    <m/>
    <m/>
    <m/>
    <m/>
    <m/>
    <m/>
    <m/>
  </r>
  <r>
    <x v="328"/>
    <s v="F"/>
    <s v="Grand Vitara 4x4  ( 5 doors)"/>
    <s v="2005/9-2012"/>
    <m/>
    <s v="0049"/>
    <m/>
    <s v="1500/75"/>
    <m/>
    <m/>
    <n v="7201.2"/>
    <n v="6481.08"/>
    <n v="9001.5"/>
    <n v="7651.2749999999996"/>
  </r>
  <r>
    <x v="329"/>
    <s v="A"/>
    <s v="Grand Vitara 4x4  ( 5 doors)"/>
    <s v="2005/9-"/>
    <m/>
    <s v="0313"/>
    <m/>
    <s v="1500/75"/>
    <m/>
    <m/>
    <n v="6742.2"/>
    <n v="6067.98"/>
    <n v="8427.75"/>
    <n v="7163.5874999999996"/>
  </r>
  <r>
    <x v="330"/>
    <s v="A"/>
    <s v="Grand Vitara 4x4  ( 5 doors)"/>
    <s v="2005/9-"/>
    <m/>
    <s v="0313"/>
    <m/>
    <s v="1500/75"/>
    <m/>
    <s v="Bosal Power*"/>
    <n v="13341.6"/>
    <n v="12007.44"/>
    <n v="16677"/>
    <n v="14175.449999999999"/>
  </r>
  <r>
    <x v="331"/>
    <s v="A"/>
    <s v="Grand Vitara XL 7 4x4"/>
    <s v="1998-2005"/>
    <m/>
    <s v="0135"/>
    <m/>
    <s v="1500/75"/>
    <m/>
    <m/>
    <n v="5956.8"/>
    <n v="5361.12"/>
    <n v="7446"/>
    <n v="6329.0999999999995"/>
  </r>
  <r>
    <x v="332"/>
    <s v="A"/>
    <s v="Jimny 4x4    (без электрики)"/>
    <s v="1998-"/>
    <m/>
    <s v="0866"/>
    <m/>
    <s v="1200/50"/>
    <s v="022-007 необходим с 2007-"/>
    <m/>
    <n v="6375"/>
    <n v="5737.5"/>
    <n v="7968.75"/>
    <n v="6773.4375"/>
  </r>
  <r>
    <x v="67"/>
    <s v="A"/>
    <s v="SX 4 HB       "/>
    <s v="2006-2014          "/>
    <m/>
    <s v="0832"/>
    <s v="%"/>
    <s v="1200/75"/>
    <m/>
    <m/>
    <n v="6762.6"/>
    <n v="6086.34"/>
    <n v="8453.25"/>
    <n v="7185.2624999999998"/>
  </r>
  <r>
    <x v="333"/>
    <s v="A"/>
    <s v="SX4 new (S-Cross)     (без электрик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s v="2014-  "/>
    <m/>
    <s v="8212"/>
    <s v="%"/>
    <s v="1500/75"/>
    <s v="022-007"/>
    <m/>
    <n v="6762.6"/>
    <n v="6086.34"/>
    <n v="8453.25"/>
    <n v="7185.2624999999998"/>
  </r>
  <r>
    <x v="334"/>
    <s v="C"/>
    <s v="SX4 new (S-Cross)     (без электрики)"/>
    <s v="2014-"/>
    <m/>
    <m/>
    <s v="%"/>
    <s v="1500/75"/>
    <s v="022-007"/>
    <m/>
    <n v="10149"/>
    <n v="9134.1"/>
    <n v="12686.25"/>
    <n v="10783.3125"/>
  </r>
  <r>
    <x v="333"/>
    <s v="A"/>
    <s v=" Vitara  (без электрики)                 "/>
    <s v="2015-"/>
    <m/>
    <s v="8212"/>
    <s v="%"/>
    <s v="1500/75"/>
    <s v="022-007"/>
    <m/>
    <n v="6762.6"/>
    <n v="6086.34"/>
    <n v="8453.25"/>
    <n v="7185.2624999999998"/>
  </r>
  <r>
    <x v="0"/>
    <m/>
    <s v="TOYOTA"/>
    <m/>
    <m/>
    <m/>
    <m/>
    <m/>
    <m/>
    <m/>
    <m/>
    <m/>
    <m/>
    <m/>
  </r>
  <r>
    <x v="335"/>
    <s v="A"/>
    <s v="Auris HB"/>
    <s v="2007-"/>
    <m/>
    <s v="0701"/>
    <m/>
    <s v="1500/50"/>
    <m/>
    <m/>
    <n v="5344.8"/>
    <n v="4810.3200000000006"/>
    <n v="6681"/>
    <n v="5678.8499999999995"/>
  </r>
  <r>
    <x v="336"/>
    <s v="A"/>
    <s v="Auris HB  (без электрики)"/>
    <s v="2006-2012"/>
    <m/>
    <m/>
    <m/>
    <s v="1600/60"/>
    <s v="022-007"/>
    <m/>
    <n v="6293.4000000000005"/>
    <n v="5664.06"/>
    <n v="7866.7500000000009"/>
    <n v="6686.7375000000002"/>
  </r>
  <r>
    <x v="337"/>
    <s v="A"/>
    <s v="Avensis sedan"/>
    <s v="2009-"/>
    <m/>
    <s v="0313"/>
    <m/>
    <s v="1500/50"/>
    <m/>
    <m/>
    <n v="5885.4000000000005"/>
    <n v="5296.8600000000006"/>
    <n v="7356.7500000000009"/>
    <n v="6253.2375000000002"/>
  </r>
  <r>
    <x v="338"/>
    <s v="A"/>
    <s v="Avensis sedan"/>
    <s v="2003-2009"/>
    <m/>
    <s v="0155"/>
    <m/>
    <s v="1500/50"/>
    <m/>
    <m/>
    <n v="5202"/>
    <n v="4681.8"/>
    <n v="6502.5"/>
    <n v="5527.125"/>
  </r>
  <r>
    <x v="339"/>
    <s v="A"/>
    <s v="Avensis Sedan (без электрики)"/>
    <s v="2009-"/>
    <m/>
    <m/>
    <m/>
    <s v="1800/75"/>
    <s v="022-007"/>
    <m/>
    <n v="7344"/>
    <n v="6609.6"/>
    <n v="9180"/>
    <n v="7803"/>
  </r>
  <r>
    <x v="340"/>
    <s v="A"/>
    <s v="Avensis wagon"/>
    <s v="2009-"/>
    <s v="Распродажа остатков"/>
    <s v="0199"/>
    <m/>
    <s v="1500/50"/>
    <m/>
    <m/>
    <n v="2140.98"/>
    <s v="Без скидки"/>
    <n v="2500"/>
    <m/>
  </r>
  <r>
    <x v="341"/>
    <s v="A"/>
    <s v="Avensis wagon"/>
    <s v="2003-2009"/>
    <m/>
    <s v="0844"/>
    <m/>
    <s v="1500/50"/>
    <m/>
    <m/>
    <n v="5416.2"/>
    <n v="4874.58"/>
    <n v="6770.25"/>
    <n v="5754.7124999999996"/>
  </r>
  <r>
    <x v="342"/>
    <s v="A"/>
    <s v="Avensis Wagon( без электрики)"/>
    <s v="2009-"/>
    <m/>
    <m/>
    <m/>
    <s v="1800/75"/>
    <s v="022-007"/>
    <m/>
    <n v="7344"/>
    <n v="6609.6"/>
    <n v="9180"/>
    <n v="7803"/>
  </r>
  <r>
    <x v="343"/>
    <s v="A"/>
    <s v="Camry sedan"/>
    <s v="2006-"/>
    <m/>
    <s v="0808"/>
    <s v="%"/>
    <s v="1500/50"/>
    <m/>
    <m/>
    <n v="6711.6"/>
    <n v="6040.4400000000005"/>
    <n v="8389.5"/>
    <n v="7131.0749999999998"/>
  </r>
  <r>
    <x v="344"/>
    <s v="A"/>
    <s v="Corolla HB"/>
    <s v="2002-2007"/>
    <m/>
    <s v="0313"/>
    <s v="%"/>
    <s v="1000/75"/>
    <m/>
    <m/>
    <n v="5028.6000000000004"/>
    <n v="4525.7400000000007"/>
    <n v="6285.75"/>
    <n v="5342.8874999999998"/>
  </r>
  <r>
    <x v="345"/>
    <s v="A"/>
    <s v="Corolla HB  (без электрики)"/>
    <s v="2002-2007"/>
    <m/>
    <m/>
    <m/>
    <m/>
    <m/>
    <m/>
    <n v="6201.6"/>
    <n v="5581.4400000000005"/>
    <n v="7752"/>
    <n v="6589.2"/>
  </r>
  <r>
    <x v="346"/>
    <s v="A"/>
    <s v="Corolla sedan    "/>
    <s v="2003-2007"/>
    <m/>
    <s v="0184"/>
    <s v="%"/>
    <s v="1300/75"/>
    <m/>
    <m/>
    <n v="5497.8"/>
    <n v="4948.0200000000004"/>
    <n v="6872.25"/>
    <n v="5841.4124999999995"/>
  </r>
  <r>
    <x v="347"/>
    <s v="A"/>
    <s v="Corolla sedan (без электрики)"/>
    <s v="2007-             2013-"/>
    <m/>
    <s v="8882"/>
    <m/>
    <s v="1200/75"/>
    <s v="022-007"/>
    <m/>
    <n v="5559"/>
    <n v="5003.1000000000004"/>
    <n v="6948.75"/>
    <n v="5906.4375"/>
  </r>
  <r>
    <x v="348"/>
    <s v="A"/>
    <s v="Corolla sedan (без электрики)"/>
    <s v="2003-2007"/>
    <m/>
    <m/>
    <m/>
    <m/>
    <m/>
    <m/>
    <n v="8721"/>
    <n v="7848.9000000000005"/>
    <n v="10901.25"/>
    <n v="9266.0625"/>
  </r>
  <r>
    <x v="349"/>
    <s v="A"/>
    <s v="Corolla wagon   "/>
    <s v="2002-2007"/>
    <m/>
    <s v="0313"/>
    <s v="%"/>
    <s v="1300/75"/>
    <m/>
    <m/>
    <n v="5028.6000000000004"/>
    <n v="4525.7400000000007"/>
    <n v="6285.75"/>
    <n v="5342.8874999999998"/>
  </r>
  <r>
    <x v="204"/>
    <s v="A"/>
    <s v="Highlander"/>
    <s v="2003-2009"/>
    <m/>
    <s v="0800"/>
    <m/>
    <s v="1500/75"/>
    <m/>
    <m/>
    <n v="7364.4000000000005"/>
    <n v="6627.9600000000009"/>
    <n v="9205.5"/>
    <n v="7824.6750000000002"/>
  </r>
  <r>
    <x v="205"/>
    <s v="A"/>
    <s v="Highlander"/>
    <s v="2003-2009"/>
    <m/>
    <s v="0800"/>
    <m/>
    <s v="1500/75"/>
    <m/>
    <s v="Bosal Power*"/>
    <n v="14637"/>
    <n v="13173.300000000001"/>
    <n v="18296.25"/>
    <n v="15551.8125"/>
  </r>
  <r>
    <x v="350"/>
    <s v="V"/>
    <s v="Highlander"/>
    <s v="2003-2009"/>
    <m/>
    <s v="0049"/>
    <m/>
    <s v="2000/100"/>
    <m/>
    <s v="Bosal Power*"/>
    <n v="8445.6"/>
    <n v="7601.0400000000009"/>
    <n v="10557"/>
    <n v="8973.4499999999989"/>
  </r>
  <r>
    <x v="203"/>
    <s v="A"/>
    <s v="Highlander"/>
    <s v="1997-2003"/>
    <m/>
    <s v="0800"/>
    <m/>
    <s v="1500/75"/>
    <m/>
    <m/>
    <n v="7364.4000000000005"/>
    <n v="6627.9600000000009"/>
    <n v="9205.5"/>
    <n v="7824.6750000000002"/>
  </r>
  <r>
    <x v="351"/>
    <s v="F"/>
    <s v="Highlander (без электрики)"/>
    <s v="2010-2014"/>
    <m/>
    <s v="0049"/>
    <m/>
    <s v="1500/75"/>
    <m/>
    <m/>
    <n v="7517.4000000000005"/>
    <n v="6765.6600000000008"/>
    <n v="9396.75"/>
    <n v="7987.2375000000002"/>
  </r>
  <r>
    <x v="352"/>
    <s v="F"/>
    <s v="Highlander (без электрики)"/>
    <s v="2010-2014"/>
    <m/>
    <s v="0049"/>
    <s v="%"/>
    <s v="1500/75"/>
    <m/>
    <s v="Plate LUX"/>
    <n v="13545.6"/>
    <n v="12191.04"/>
    <n v="16932"/>
    <n v="14392.199999999999"/>
  </r>
  <r>
    <x v="353"/>
    <s v="F"/>
    <s v="Highlander (без электрики)        Крепление шара на балке ТСУ"/>
    <s v="2014-"/>
    <m/>
    <s v="F"/>
    <m/>
    <s v="2000/120"/>
    <s v="022-007"/>
    <m/>
    <n v="7517.4000000000005"/>
    <n v="6765.6600000000008"/>
    <n v="9396.75"/>
    <n v="7987.2375000000002"/>
  </r>
  <r>
    <x v="354"/>
    <s v="F"/>
    <s v="Highlander (без электрики)        Крепление шара на балке ТСУ"/>
    <s v="2014-"/>
    <m/>
    <s v="F"/>
    <m/>
    <s v="2000/120"/>
    <s v="022-007"/>
    <s v="Plate LUX"/>
    <n v="13423.2"/>
    <n v="12080.880000000001"/>
    <n v="16779"/>
    <n v="14262.15"/>
  </r>
  <r>
    <x v="355"/>
    <s v="F"/>
    <s v="Hilux double cab (с отбойным брусом)"/>
    <s v="2008-2015"/>
    <m/>
    <s v="0049"/>
    <m/>
    <s v="1500/75"/>
    <m/>
    <m/>
    <n v="6099.6"/>
    <n v="5489.64"/>
    <n v="7624.5"/>
    <n v="6480.8249999999998"/>
  </r>
  <r>
    <x v="356"/>
    <s v="F"/>
    <s v="Hilux double cab (без отбойного бруса) без электрики"/>
    <s v="2015-"/>
    <m/>
    <s v="0049"/>
    <m/>
    <s v="2950/120"/>
    <m/>
    <m/>
    <n v="8698.56"/>
    <n v="7828.7039999999997"/>
    <n v="10873.199999999999"/>
    <n v="9242.2199999999993"/>
  </r>
  <r>
    <x v="357"/>
    <s v="F"/>
    <s v="Land Cruiser 90 4x4 "/>
    <s v="1996/4 - 2002"/>
    <m/>
    <s v="022-834"/>
    <m/>
    <s v="1500/100"/>
    <m/>
    <m/>
    <n v="6200"/>
    <n v="5580"/>
    <n v="7750"/>
    <n v="6587.5"/>
  </r>
  <r>
    <x v="196"/>
    <s v="A"/>
    <s v="Land Cruiser 100 VX 4x4          "/>
    <s v="1998/3-2007                            "/>
    <m/>
    <s v="0800"/>
    <m/>
    <s v="1500/100"/>
    <m/>
    <m/>
    <n v="7303.2"/>
    <n v="6572.88"/>
    <n v="9129"/>
    <n v="7759.65"/>
  </r>
  <r>
    <x v="197"/>
    <s v="A"/>
    <s v="Land Cruiser 100 VX 4x4                                                                                                 "/>
    <s v="1998/3-2007 "/>
    <m/>
    <s v="0800"/>
    <m/>
    <s v="1500/100"/>
    <m/>
    <s v="Bosal Power*"/>
    <n v="14841"/>
    <n v="13356.9"/>
    <n v="18551.25"/>
    <n v="15768.5625"/>
  </r>
  <r>
    <x v="358"/>
    <s v="F"/>
    <s v="Land Cruiser 100 VX 4x4     "/>
    <s v="1998/3-2007                                            "/>
    <m/>
    <s v="F"/>
    <m/>
    <s v="3500/140"/>
    <m/>
    <m/>
    <n v="9822.6"/>
    <n v="8840.34"/>
    <n v="12278.25"/>
    <n v="10436.512499999999"/>
  </r>
  <r>
    <x v="195"/>
    <s v="E"/>
    <s v="Land Cruiser 200 4x4 (без электрики)"/>
    <s v="2007-"/>
    <s v="Нов. 2016"/>
    <s v="E"/>
    <s v="%"/>
    <s v="2500/100"/>
    <m/>
    <m/>
    <n v="6834"/>
    <n v="6150.6"/>
    <n v="8542.5"/>
    <n v="7261.125"/>
  </r>
  <r>
    <x v="200"/>
    <s v="A"/>
    <s v="Land Cruiser 200 4x4"/>
    <s v="2007-"/>
    <m/>
    <s v="0804"/>
    <m/>
    <s v="1500/75"/>
    <m/>
    <m/>
    <n v="7364.4000000000005"/>
    <n v="6627.9600000000009"/>
    <n v="9205.5"/>
    <n v="7824.6750000000002"/>
  </r>
  <r>
    <x v="199"/>
    <s v="A"/>
    <s v="Land Cruiser 200 4x4   "/>
    <s v="2007-"/>
    <m/>
    <s v="0804"/>
    <m/>
    <s v="1500/75"/>
    <m/>
    <s v="Bosal Power*"/>
    <n v="15289.800000000001"/>
    <n v="13760.820000000002"/>
    <n v="19112.25"/>
    <n v="16245.4125"/>
  </r>
  <r>
    <x v="198"/>
    <s v="F"/>
    <s v="Land Cruiser 200 4x4                         "/>
    <s v="2007-"/>
    <m/>
    <m/>
    <s v="%"/>
    <s v="2500/100"/>
    <m/>
    <m/>
    <n v="5844.6"/>
    <n v="5260.14"/>
    <n v="7305.75"/>
    <n v="6209.8874999999998"/>
  </r>
  <r>
    <x v="201"/>
    <s v="A"/>
    <s v="Land Cruiser 200 4x4                                                                    "/>
    <s v="2007-"/>
    <m/>
    <s v="0804"/>
    <m/>
    <s v="1500/75"/>
    <m/>
    <s v="Plate LUX"/>
    <n v="14198.4"/>
    <n v="12778.56"/>
    <n v="17748"/>
    <n v="15085.8"/>
  </r>
  <r>
    <x v="359"/>
    <s v="AK41"/>
    <s v="Land Cruiser 200 4x4                         "/>
    <s v="2010-"/>
    <m/>
    <s v="AK41"/>
    <m/>
    <s v="1500/75"/>
    <m/>
    <s v="Bosal Power*"/>
    <n v="26000"/>
    <n v="23400"/>
    <n v="32500"/>
    <n v="27625"/>
  </r>
  <r>
    <x v="202"/>
    <s v="F"/>
    <s v="Land Cruiser 200 4x4 (без электрики)   Крепление шара на балке ТСУ"/>
    <s v="2007-"/>
    <m/>
    <s v="0049"/>
    <m/>
    <s v="2000/120"/>
    <m/>
    <s v="Plate LUX"/>
    <n v="14137.2"/>
    <n v="12723.480000000001"/>
    <n v="17671.5"/>
    <n v="15020.775"/>
  </r>
  <r>
    <x v="192"/>
    <s v="F"/>
    <s v="Land Cruiser 200 4x4 (без электрики)   Крепление шара на балке ТСУ"/>
    <s v="2007-"/>
    <s v="Нов. 2015"/>
    <m/>
    <m/>
    <s v="2000/120"/>
    <m/>
    <m/>
    <n v="8292.6"/>
    <n v="7463.34"/>
    <n v="10365.75"/>
    <n v="8810.8874999999989"/>
  </r>
  <r>
    <x v="194"/>
    <s v="A"/>
    <s v="Land Cruiser 200 4x4 (без электрики)"/>
    <s v="2007-"/>
    <s v="Нов. 2016"/>
    <s v="8890"/>
    <s v="%"/>
    <s v="3500/140"/>
    <m/>
    <m/>
    <n v="5049"/>
    <n v="4544.1000000000004"/>
    <n v="6311.25"/>
    <n v="5364.5625"/>
  </r>
  <r>
    <x v="191"/>
    <s v="A"/>
    <s v="Land Cruiser Prado J120, J125 4x4   "/>
    <s v="2003-2009"/>
    <m/>
    <s v="0800"/>
    <m/>
    <s v="1500/100"/>
    <m/>
    <m/>
    <n v="7435.8"/>
    <n v="6692.22"/>
    <n v="9294.75"/>
    <n v="7900.5374999999995"/>
  </r>
  <r>
    <x v="360"/>
    <s v="A"/>
    <s v="Land Cruiser Prado J120, J125 4x4    "/>
    <s v="2003-2009"/>
    <m/>
    <s v="0800"/>
    <m/>
    <s v="1500/100"/>
    <m/>
    <s v="Bosal Power*"/>
    <n v="12250.2"/>
    <n v="11025.18"/>
    <n v="15312.75"/>
    <n v="13015.8375"/>
  </r>
  <r>
    <x v="361"/>
    <s v="F"/>
    <s v="Land Cruiser Prado J120, J125 4x4    "/>
    <s v="2003-2009"/>
    <m/>
    <s v="0049"/>
    <m/>
    <s v="1500/100"/>
    <m/>
    <s v="Bosal Power*"/>
    <n v="12178.800000000001"/>
    <n v="10960.920000000002"/>
    <n v="15223.500000000002"/>
    <n v="12939.975"/>
  </r>
  <r>
    <x v="184"/>
    <s v="A"/>
    <s v="Land Cruiser Prado J150/120  4x4 (без электрики)      "/>
    <s v="2002-    "/>
    <s v="Нов. 2016"/>
    <s v="E"/>
    <s v="%"/>
    <s v="2500/100"/>
    <m/>
    <m/>
    <n v="5304"/>
    <n v="4773.6000000000004"/>
    <n v="6630"/>
    <n v="5635.5"/>
  </r>
  <r>
    <x v="188"/>
    <s v="A"/>
    <s v="Land Cruiser Prado J150/120  4x4       "/>
    <s v="2002-    "/>
    <m/>
    <s v="0800"/>
    <m/>
    <s v="1500/75"/>
    <m/>
    <m/>
    <n v="6528"/>
    <n v="5875.2"/>
    <n v="8160"/>
    <n v="6936"/>
  </r>
  <r>
    <x v="185"/>
    <s v="A"/>
    <s v="Land Cruiser Prado J150/120  4x4       "/>
    <s v="2002-    "/>
    <m/>
    <s v="0800"/>
    <m/>
    <s v="1500/75"/>
    <m/>
    <s v="Bosal Power*"/>
    <n v="14361.6"/>
    <n v="12925.44"/>
    <n v="17952"/>
    <n v="15259.199999999999"/>
  </r>
  <r>
    <x v="189"/>
    <s v="F"/>
    <s v="Land Cruiser Prado J150/120  4x4       "/>
    <s v="2002-    "/>
    <m/>
    <s v="0049"/>
    <m/>
    <s v="2500/100"/>
    <m/>
    <s v="Plate LUX"/>
    <n v="14739"/>
    <n v="13265.1"/>
    <n v="18423.75"/>
    <n v="15660.1875"/>
  </r>
  <r>
    <x v="186"/>
    <s v="A"/>
    <s v="Land Cruiser Prado J150/120  4x4       "/>
    <s v="2002-    "/>
    <m/>
    <s v="0800"/>
    <m/>
    <s v="1500/75"/>
    <m/>
    <s v="Plate LUX"/>
    <n v="13300.800000000001"/>
    <n v="11970.720000000001"/>
    <n v="16626"/>
    <n v="14132.1"/>
  </r>
  <r>
    <x v="362"/>
    <s v="AK41"/>
    <s v="Land Cruiser Prado J150/120  4x4       "/>
    <s v="2002-    "/>
    <m/>
    <s v="AK41"/>
    <m/>
    <s v="1500/75"/>
    <m/>
    <s v="Plate LUX"/>
    <n v="24000"/>
    <n v="21600"/>
    <n v="30000"/>
    <n v="25500"/>
  </r>
  <r>
    <x v="190"/>
    <s v="F"/>
    <s v="Land Cruiser Prado J150/120  4x4 (без электрики)      "/>
    <s v="2002-    "/>
    <m/>
    <s v="0049"/>
    <m/>
    <s v="2000/120"/>
    <m/>
    <s v="Plate LUX"/>
    <n v="14953.2"/>
    <n v="13457.880000000001"/>
    <n v="18691.5"/>
    <n v="15887.775"/>
  </r>
  <r>
    <x v="183"/>
    <s v="A"/>
    <s v="Land Cruiser Prado J150/120  4x4 (без электрики)      "/>
    <s v="2002-    "/>
    <s v="Нов. 2016"/>
    <s v="8890"/>
    <s v="%"/>
    <s v="3500/140"/>
    <m/>
    <m/>
    <n v="3978"/>
    <n v="3580.2000000000003"/>
    <n v="4972.5"/>
    <n v="4226.625"/>
  </r>
  <r>
    <x v="45"/>
    <s v="A"/>
    <s v="RAV 4 4x4   "/>
    <s v="2000/6-2005 "/>
    <m/>
    <s v="0160"/>
    <m/>
    <s v="1200/80"/>
    <m/>
    <m/>
    <n v="6742.2"/>
    <n v="6067.98"/>
    <n v="8427.75"/>
    <n v="7163.5874999999996"/>
  </r>
  <r>
    <x v="363"/>
    <s v="A"/>
    <s v="RAV 4 4x4                                                                                                   "/>
    <s v="2006-2012"/>
    <m/>
    <s v="0826"/>
    <m/>
    <s v="1500/100"/>
    <m/>
    <m/>
    <n v="7435.8"/>
    <n v="6692.22"/>
    <n v="9294.75"/>
    <n v="7900.5374999999995"/>
  </r>
  <r>
    <x v="364"/>
    <s v="A"/>
    <s v="RAV 4  (без электрики)"/>
    <s v="2013-                   2015-"/>
    <m/>
    <s v="8188"/>
    <s v="%"/>
    <s v="1500/75"/>
    <s v="022-007"/>
    <m/>
    <n v="7986.6"/>
    <n v="7187.9400000000005"/>
    <n v="9983.25"/>
    <n v="8485.7624999999989"/>
  </r>
  <r>
    <x v="365"/>
    <s v="A"/>
    <s v="Venza (без электрики)"/>
    <s v="2013-"/>
    <m/>
    <s v="8160"/>
    <m/>
    <s v="1500/75"/>
    <m/>
    <m/>
    <n v="8731.2000000000007"/>
    <n v="7858.0800000000008"/>
    <n v="10914"/>
    <n v="9276.9"/>
  </r>
  <r>
    <x v="366"/>
    <s v="A"/>
    <s v="Verso wagon"/>
    <s v="2009-"/>
    <m/>
    <s v="0148"/>
    <m/>
    <s v="1200/50"/>
    <m/>
    <m/>
    <n v="5477.4000000000005"/>
    <n v="4929.6600000000008"/>
    <n v="6846.7500000000009"/>
    <n v="5819.7375000000002"/>
  </r>
  <r>
    <x v="0"/>
    <m/>
    <s v="VOLKSWAGEN"/>
    <m/>
    <m/>
    <m/>
    <m/>
    <m/>
    <m/>
    <m/>
    <m/>
    <m/>
    <m/>
    <m/>
  </r>
  <r>
    <x v="367"/>
    <s v="E"/>
    <s v="Amarok Pick-up с бампером"/>
    <s v="2010-"/>
    <s v="Нов. 2016"/>
    <s v="E"/>
    <m/>
    <s v="2500/100"/>
    <m/>
    <m/>
    <n v="4386"/>
    <n v="3947.4"/>
    <n v="5482.5"/>
    <n v="4660.125"/>
  </r>
  <r>
    <x v="368"/>
    <s v="F"/>
    <s v="Amarok Pick-up с бампером"/>
    <s v="2010-"/>
    <m/>
    <s v="F"/>
    <m/>
    <s v="2500/100"/>
    <m/>
    <m/>
    <n v="4987.8"/>
    <n v="4489.0200000000004"/>
    <n v="6234.75"/>
    <n v="5299.5374999999995"/>
  </r>
  <r>
    <x v="3"/>
    <s v="A"/>
    <s v="Bora sedan, wagon"/>
    <s v="1998-2005   "/>
    <m/>
    <s v="0815"/>
    <s v="%"/>
    <s v="1400/75"/>
    <m/>
    <m/>
    <n v="5416.2"/>
    <n v="4874.58"/>
    <n v="6770.25"/>
    <n v="5754.7124999999996"/>
  </r>
  <r>
    <x v="369"/>
    <s v="A"/>
    <s v="Caddy III minivan, van                                                                       Caddy III Maxi minivan, van"/>
    <s v="2004-"/>
    <m/>
    <s v="0862"/>
    <m/>
    <s v="1200/50"/>
    <m/>
    <m/>
    <n v="7303.2"/>
    <n v="6572.88"/>
    <n v="9129"/>
    <n v="7759.65"/>
  </r>
  <r>
    <x v="227"/>
    <s v="F"/>
    <s v="Crafter minivan, van  (без электрики)"/>
    <s v="2006-                       "/>
    <m/>
    <s v="0049"/>
    <m/>
    <s v="2000/100"/>
    <s v="022-007"/>
    <m/>
    <n v="7880"/>
    <n v="7092"/>
    <n v="9850"/>
    <n v="8372.5"/>
  </r>
  <r>
    <x v="3"/>
    <s v="A"/>
    <s v="Golf IV HB, wagon"/>
    <s v="1997/10-2003/10 "/>
    <m/>
    <s v="0815"/>
    <s v="%"/>
    <s v="1400/75"/>
    <m/>
    <m/>
    <n v="5416.2"/>
    <n v="4874.58"/>
    <n v="6770.25"/>
    <n v="5754.7124999999996"/>
  </r>
  <r>
    <x v="370"/>
    <s v="A"/>
    <s v="Golf Vl HB                                                                        Golf Vl Plus HB    (без электрики)"/>
    <s v="2008-2012"/>
    <m/>
    <s v="0148"/>
    <s v="%"/>
    <s v="1500/75"/>
    <s v="022-007"/>
    <m/>
    <n v="4702.2"/>
    <n v="4231.9799999999996"/>
    <n v="5877.75"/>
    <n v="4996.0874999999996"/>
  </r>
  <r>
    <x v="371"/>
    <s v="A"/>
    <s v="Golf V variant,                                         Golf VI variant  (без электрики)"/>
    <s v="2007-"/>
    <m/>
    <s v="0216"/>
    <s v="%"/>
    <s v="1500/50"/>
    <s v="022-007"/>
    <m/>
    <n v="4845"/>
    <n v="4360.5"/>
    <n v="6056.25"/>
    <n v="5147.8125"/>
  </r>
  <r>
    <x v="371"/>
    <s v="A"/>
    <s v="Jetta sedan"/>
    <s v="2006-1/2011"/>
    <m/>
    <s v="0216"/>
    <s v="%"/>
    <s v="1500/50"/>
    <s v="022-007"/>
    <m/>
    <n v="4845"/>
    <n v="4360.5"/>
    <n v="6056.25"/>
    <n v="5147.8125"/>
  </r>
  <r>
    <x v="372"/>
    <s v="A"/>
    <s v="Jetta sedan"/>
    <s v="2/2011-"/>
    <m/>
    <n v="867"/>
    <s v="%"/>
    <s v="1200/50"/>
    <m/>
    <m/>
    <n v="5008.2"/>
    <n v="4507.38"/>
    <n v="6260.25"/>
    <n v="5321.2124999999996"/>
  </r>
  <r>
    <x v="373"/>
    <s v="A"/>
    <s v="Passat lV sedan                                                                                                         Passat lV wagon"/>
    <s v="1993/10-1996/9                                                                                                                                                                                                                        1993/10-1997/4"/>
    <m/>
    <s v="0137"/>
    <s v="%"/>
    <s v="1500/75"/>
    <m/>
    <m/>
    <n v="4569.6000000000004"/>
    <n v="4112.6400000000003"/>
    <n v="5712"/>
    <n v="4855.2"/>
  </r>
  <r>
    <x v="309"/>
    <s v="A"/>
    <s v="Passat V \ V+ sedan                                                                                                                                                                                                     Passat V \ V+ wagon                    "/>
    <s v=" 2000/10-2005                                                                                                                                                                                                     1997/5-2005                                                                                                                                                                                                                       "/>
    <m/>
    <s v="0182"/>
    <s v="%"/>
    <s v="1500/80"/>
    <m/>
    <m/>
    <n v="6681"/>
    <n v="6012.9000000000005"/>
    <n v="8351.25"/>
    <n v="7098.5625"/>
  </r>
  <r>
    <x v="374"/>
    <s v="A"/>
    <s v="Passat Vl sedan  (без электрики)"/>
    <s v="2005-2011"/>
    <m/>
    <s v="0808"/>
    <s v="%"/>
    <n v="1"/>
    <s v="022-007"/>
    <m/>
    <n v="5436.6"/>
    <n v="4892.9400000000005"/>
    <n v="6795.75"/>
    <n v="5776.3874999999998"/>
  </r>
  <r>
    <x v="375"/>
    <s v="A"/>
    <s v="Passat VII Sedan &amp; Variant"/>
    <s v="11/2010-"/>
    <m/>
    <n v="185"/>
    <s v="%"/>
    <s v="1300/75"/>
    <m/>
    <m/>
    <n v="5436.6"/>
    <n v="4892.9400000000005"/>
    <n v="6795.75"/>
    <n v="5776.3874999999998"/>
  </r>
  <r>
    <x v="376"/>
    <s v="AK41"/>
    <s v="Passat B8 sedan (без электрики)"/>
    <s v="2015-"/>
    <s v="Нов. 2016"/>
    <s v="2100.0515.832"/>
    <s v="%"/>
    <s v="2230/100"/>
    <s v="022-007"/>
    <m/>
    <n v="17136"/>
    <n v="15422.4"/>
    <n v="21420"/>
    <n v="18207"/>
  </r>
  <r>
    <x v="311"/>
    <s v="A"/>
    <s v="Passat B8 sedan (без электрики)  "/>
    <s v="2015-"/>
    <m/>
    <s v="8900"/>
    <s v="%"/>
    <s v="2233/100"/>
    <s v="022-007"/>
    <m/>
    <n v="6166.92"/>
    <n v="5550.2280000000001"/>
    <n v="7708.65"/>
    <n v="6552.3525"/>
  </r>
  <r>
    <x v="377"/>
    <s v="A"/>
    <s v="Polo sedan"/>
    <s v="2010-2015   2015-"/>
    <m/>
    <s v="0173"/>
    <s v="%"/>
    <s v="1000/75"/>
    <m/>
    <m/>
    <n v="4559.3999999999996"/>
    <n v="4103.46"/>
    <n v="5699.25"/>
    <n v="4844.3625000000002"/>
  </r>
  <r>
    <x v="84"/>
    <s v="A"/>
    <s v="Sharan minivan "/>
    <s v="1995-2000/4"/>
    <m/>
    <s v="0186"/>
    <s v="%"/>
    <s v="1500/75"/>
    <m/>
    <m/>
    <n v="6548.4000000000005"/>
    <n v="5893.56"/>
    <n v="8185.5000000000009"/>
    <n v="6957.6750000000002"/>
  </r>
  <r>
    <x v="2"/>
    <s v="A"/>
    <s v="Tiguan 4x4 "/>
    <s v="2007-        "/>
    <m/>
    <s v="0859"/>
    <s v="%"/>
    <s v="1500/50"/>
    <s v="022-007"/>
    <m/>
    <n v="6262.8"/>
    <n v="5636.52"/>
    <n v="7828.5"/>
    <n v="6654.2249999999995"/>
  </r>
  <r>
    <x v="284"/>
    <s v="A"/>
    <s v="Touareg 4x4  (без электрики)"/>
    <s v="2002-         "/>
    <m/>
    <s v="0220"/>
    <s v="%"/>
    <s v="1500/75"/>
    <s v="022-007"/>
    <m/>
    <n v="9078"/>
    <n v="8170.2"/>
    <n v="11347.5"/>
    <n v="9645.375"/>
  </r>
  <r>
    <x v="9"/>
    <s v="A"/>
    <s v="Touareg 4x4"/>
    <s v="2002- "/>
    <s v="Нов. 2016"/>
    <s v="8891"/>
    <s v="%"/>
    <s v="3500/140"/>
    <s v="022-007"/>
    <m/>
    <n v="7038"/>
    <n v="6334.2"/>
    <n v="8797.5"/>
    <n v="7477.875"/>
  </r>
  <r>
    <x v="0"/>
    <m/>
    <m/>
    <m/>
    <m/>
    <m/>
    <s v="по необходим"/>
    <m/>
    <m/>
    <m/>
    <m/>
    <n v="0"/>
    <n v="0"/>
    <n v="0"/>
  </r>
  <r>
    <x v="10"/>
    <s v="AK6"/>
    <s v="Touareg 4x4  (без электрики) "/>
    <s v="2002- "/>
    <m/>
    <s v="99-4285-4416"/>
    <s v="%"/>
    <s v="3500/140"/>
    <s v="022-007"/>
    <m/>
    <n v="15100"/>
    <n v="13590"/>
    <n v="18875"/>
    <n v="16043.75"/>
  </r>
  <r>
    <x v="378"/>
    <s v="A"/>
    <s v="Touran minivan  (без электрики)"/>
    <s v="2002 - "/>
    <m/>
    <s v="0803"/>
    <s v="%"/>
    <s v="1500/50"/>
    <s v="022-007"/>
    <m/>
    <n v="5446.8"/>
    <n v="4902.12"/>
    <n v="6808.5"/>
    <n v="5787.2249999999995"/>
  </r>
  <r>
    <x v="379"/>
    <s v="A"/>
    <s v="Transporter T-4 minibus, van "/>
    <s v="1996-2003"/>
    <m/>
    <s v="0831"/>
    <m/>
    <s v="1500/75"/>
    <m/>
    <m/>
    <n v="7058.4000000000005"/>
    <n v="6352.56"/>
    <n v="8823"/>
    <n v="7499.55"/>
  </r>
  <r>
    <x v="380"/>
    <s v="F"/>
    <s v="Transporter T-4 minibus, van (балка 900мм, без электрики)"/>
    <s v="1996-2003"/>
    <m/>
    <m/>
    <m/>
    <s v="2000/100"/>
    <m/>
    <m/>
    <n v="4641"/>
    <n v="4176.9000000000005"/>
    <n v="5801.25"/>
    <n v="4931.0625"/>
  </r>
  <r>
    <x v="381"/>
    <s v="F"/>
    <s v="Transporter T-5 minibus, van, caravelle, multivan                                         Transporter T-6 multivan"/>
    <s v="2003-2015   2016-"/>
    <m/>
    <s v="0049"/>
    <m/>
    <s v="2000/100"/>
    <s v="022-007               (с 2010г.в.)"/>
    <m/>
    <n v="5691.6"/>
    <n v="5122.4400000000005"/>
    <n v="7114.5"/>
    <n v="6047.3249999999998"/>
  </r>
  <r>
    <x v="376"/>
    <s v="AK41"/>
    <s v="Passat B8 sedan (без электрики)"/>
    <s v="2015-"/>
    <s v="Нов. 2016"/>
    <s v="2100.0515.832"/>
    <s v="%"/>
    <s v="2230/100"/>
    <s v="022-007"/>
    <m/>
    <n v="17136"/>
    <n v="15422.4"/>
    <n v="21420"/>
    <n v="18207"/>
  </r>
  <r>
    <x v="0"/>
    <m/>
    <s v="VOLVO"/>
    <m/>
    <m/>
    <m/>
    <m/>
    <m/>
    <m/>
    <m/>
    <m/>
    <m/>
    <m/>
    <m/>
  </r>
  <r>
    <x v="382"/>
    <s v="A"/>
    <s v="XC 60-70 (без электрики)"/>
    <s v="2008-"/>
    <m/>
    <n v="8188"/>
    <m/>
    <s v="1500/75"/>
    <s v="022-007"/>
    <m/>
    <n v="5956.8"/>
    <n v="5361.12"/>
    <n v="7446"/>
    <n v="6329.0999999999995"/>
  </r>
  <r>
    <x v="383"/>
    <s v="A"/>
    <s v="XC 90 wagon   (без электрики)"/>
    <s v="2003-"/>
    <m/>
    <s v="0212"/>
    <s v="%"/>
    <s v="2000/90"/>
    <s v="022-007"/>
    <m/>
    <n v="7500"/>
    <n v="6750"/>
    <n v="9375"/>
    <n v="7968.75"/>
  </r>
  <r>
    <x v="0"/>
    <m/>
    <s v="ZAZ"/>
    <m/>
    <m/>
    <m/>
    <m/>
    <m/>
    <m/>
    <m/>
    <m/>
    <m/>
    <m/>
    <m/>
  </r>
  <r>
    <x v="59"/>
    <s v="A"/>
    <s v="Chance HB"/>
    <s v="2009-"/>
    <m/>
    <s v="0164"/>
    <m/>
    <s v="1000/50"/>
    <m/>
    <m/>
    <n v="4671.6000000000004"/>
    <n v="4204.4400000000005"/>
    <n v="5839.5"/>
    <n v="4963.5749999999998"/>
  </r>
  <r>
    <x v="33"/>
    <s v="A"/>
    <s v="SENS, Chance sedan"/>
    <s v="2009-"/>
    <m/>
    <s v="0822"/>
    <s v="%"/>
    <s v="1100/50"/>
    <m/>
    <m/>
    <n v="4620.6000000000004"/>
    <n v="4158.5400000000009"/>
    <n v="5775.75"/>
    <n v="4909.3874999999998"/>
  </r>
  <r>
    <x v="20"/>
    <s v="A"/>
    <s v="Vida                                                                                                                          "/>
    <s v="2012-"/>
    <m/>
    <s v="0854"/>
    <m/>
    <s v="1200/50"/>
    <m/>
    <m/>
    <n v="4500"/>
    <n v="4050"/>
    <n v="5625"/>
    <n v="4781.25"/>
  </r>
  <r>
    <x v="0"/>
    <m/>
    <s v="Аксессуары"/>
    <m/>
    <m/>
    <m/>
    <m/>
    <m/>
    <m/>
    <m/>
    <m/>
    <m/>
    <m/>
    <m/>
  </r>
  <r>
    <x v="384"/>
    <m/>
    <s v="Колпачок на шар ТСУ черный "/>
    <m/>
    <m/>
    <m/>
    <m/>
    <m/>
    <m/>
    <m/>
    <n v="50"/>
    <n v="45"/>
    <n v="60"/>
    <n v="51"/>
  </r>
  <r>
    <x v="385"/>
    <m/>
    <s v="Колпачок на шар ТСУ хромированный "/>
    <m/>
    <m/>
    <m/>
    <m/>
    <m/>
    <m/>
    <m/>
    <n v="180"/>
    <n v="162"/>
    <n v="225"/>
    <n v="191.25"/>
  </r>
  <r>
    <x v="386"/>
    <m/>
    <s v="Кронштейн розетки черный"/>
    <m/>
    <m/>
    <m/>
    <m/>
    <m/>
    <m/>
    <m/>
    <n v="60"/>
    <n v="54"/>
    <n v="80"/>
    <n v="68"/>
  </r>
  <r>
    <x v="387"/>
    <m/>
    <s v="Кронштейн розетки из нержавейки"/>
    <m/>
    <m/>
    <m/>
    <m/>
    <m/>
    <m/>
    <m/>
    <n v="100"/>
    <n v="90"/>
    <n v="130"/>
    <n v="111"/>
  </r>
  <r>
    <x v="0"/>
    <m/>
    <s v="Рекламный выставочный стенд для ТСУ"/>
    <m/>
    <m/>
    <m/>
    <m/>
    <m/>
    <m/>
    <m/>
    <n v="3131.4"/>
    <n v="2818.26"/>
    <n v="3914.25"/>
    <n v="3327.1124999999997"/>
  </r>
  <r>
    <x v="388"/>
    <m/>
    <s v="Розетка к ТСУ EDV 7P с электрожгутом 1,9 м в пакете (улучшенная)"/>
    <m/>
    <m/>
    <m/>
    <m/>
    <m/>
    <m/>
    <m/>
    <n v="430"/>
    <n v="387"/>
    <n v="540"/>
    <n v="460"/>
  </r>
  <r>
    <x v="0"/>
    <m/>
    <s v="Розетка к ТСУ EDV 7P без электрожгута с пыльником и разветвителем"/>
    <m/>
    <m/>
    <m/>
    <m/>
    <m/>
    <m/>
    <m/>
    <n v="140"/>
    <n v="126"/>
    <n v="180"/>
    <n v="153"/>
  </r>
  <r>
    <x v="0"/>
    <m/>
    <s v="Розетка к ТСУ EDV 7P без электрожгута с пыльником и разветвителем зеркальная"/>
    <m/>
    <m/>
    <m/>
    <m/>
    <m/>
    <m/>
    <m/>
    <n v="180"/>
    <n v="162"/>
    <n v="230"/>
    <n v="196"/>
  </r>
  <r>
    <x v="0"/>
    <m/>
    <s v="Шары под американские авто"/>
    <m/>
    <m/>
    <m/>
    <m/>
    <m/>
    <m/>
    <m/>
    <m/>
    <m/>
    <m/>
    <m/>
  </r>
  <r>
    <x v="389"/>
    <s v="F"/>
    <s v="Шаровый узел на американские автомобили ( под квадратное отверстие на 50 в корпусе ТСУ ) ( на базе шара &quot;F&quot; ) ( грузоподъемностью 2000 кг )"/>
    <m/>
    <m/>
    <s v="0049"/>
    <m/>
    <s v="2000/75"/>
    <m/>
    <m/>
    <n v="3180"/>
    <n v="2862"/>
    <n v="3975"/>
    <n v="3378.75"/>
  </r>
  <r>
    <x v="390"/>
    <s v="E"/>
    <s v="Шаровый узел на американские автомобили ( под квадратное отверстие на  50 в корпусе ТСУ ) ( на базе шара &quot;Е&quot;) ( грузоподъемностью 1500 кг )"/>
    <m/>
    <m/>
    <s v="022-794"/>
    <m/>
    <s v="1500/75"/>
    <m/>
    <m/>
    <n v="2520"/>
    <n v="2268"/>
    <n v="3150"/>
    <n v="2677.5"/>
  </r>
  <r>
    <x v="391"/>
    <s v="E"/>
    <s v="Шаровый узел на американские автомобили ( под квадратное отверстие на  30 в корпусе ТСУ ) ( на базе шара &quot;Е&quot;) ( грузоподъемностью 1500 кг )"/>
    <m/>
    <m/>
    <s v="022-794"/>
    <m/>
    <s v="1500/75"/>
    <m/>
    <m/>
    <n v="2520"/>
    <n v="2268"/>
    <n v="3150"/>
    <n v="2677.5"/>
  </r>
  <r>
    <x v="0"/>
    <m/>
    <s v="Шары  "/>
    <m/>
    <m/>
    <m/>
    <m/>
    <m/>
    <m/>
    <m/>
    <m/>
    <m/>
    <m/>
    <m/>
  </r>
  <r>
    <x v="0"/>
    <m/>
    <s v="Шар тип &quot;F&quot; (ISO/50)"/>
    <m/>
    <m/>
    <m/>
    <m/>
    <s v="3500/100"/>
    <m/>
    <m/>
    <n v="1240"/>
    <n v="1116"/>
    <n v="1550"/>
    <n v="1317"/>
  </r>
  <r>
    <x v="0"/>
    <m/>
    <s v="Шар тип &quot;F&quot; хром (ISO/50)"/>
    <m/>
    <m/>
    <m/>
    <m/>
    <s v="3500/100"/>
    <m/>
    <m/>
    <n v="1550"/>
    <n v="1395"/>
    <n v="1940"/>
    <n v="164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2">
  <r>
    <x v="0"/>
    <m/>
    <s v="CHEVROLET"/>
    <m/>
    <m/>
    <m/>
    <m/>
    <m/>
    <m/>
    <m/>
    <m/>
    <m/>
    <m/>
  </r>
  <r>
    <x v="1"/>
    <s v="A"/>
    <s v="Niva 2123 4x4 "/>
    <s v="2002-"/>
    <s v="@"/>
    <m/>
    <s v="0187"/>
    <s v="1500/76"/>
    <m/>
    <n v="2264.4"/>
    <n v="2037.96"/>
    <n v="2830.5"/>
    <n v="2405.9249999999997"/>
  </r>
  <r>
    <x v="2"/>
    <s v="E"/>
    <s v="Niva 2123 4x4 "/>
    <s v="2002-"/>
    <s v="@"/>
    <m/>
    <s v="0188"/>
    <s v="1500/77"/>
    <m/>
    <n v="3845.4"/>
    <n v="3460.86"/>
    <n v="4806.75"/>
    <n v="4085.7374999999997"/>
  </r>
  <r>
    <x v="0"/>
    <m/>
    <s v="Datsun"/>
    <m/>
    <m/>
    <m/>
    <m/>
    <m/>
    <m/>
    <m/>
    <m/>
    <m/>
    <m/>
  </r>
  <r>
    <x v="3"/>
    <s v="E"/>
    <s v="On-Do (без электрики)"/>
    <s v="2014-"/>
    <s v="@"/>
    <m/>
    <m/>
    <m/>
    <m/>
    <n v="3162"/>
    <n v="2845.8"/>
    <n v="3952.5"/>
    <n v="3359.625"/>
  </r>
  <r>
    <x v="4"/>
    <s v="A"/>
    <s v="On-Do"/>
    <s v="2014-"/>
    <s v="@"/>
    <m/>
    <m/>
    <m/>
    <m/>
    <n v="1946.16"/>
    <n v="1751.5440000000001"/>
    <n v="2432.7000000000003"/>
    <n v="2067.7950000000001"/>
  </r>
  <r>
    <x v="5"/>
    <s v="A"/>
    <s v="Mi-Do"/>
    <s v="2014-"/>
    <s v="@"/>
    <m/>
    <m/>
    <m/>
    <m/>
    <n v="2064.48"/>
    <n v="1858.0320000000002"/>
    <n v="2580.6"/>
    <n v="2193.5099999999998"/>
  </r>
  <r>
    <x v="0"/>
    <m/>
    <s v="GAZ"/>
    <m/>
    <m/>
    <m/>
    <m/>
    <m/>
    <m/>
    <m/>
    <m/>
    <m/>
    <m/>
  </r>
  <r>
    <x v="6"/>
    <s v="A"/>
    <s v="Volga - 3110, 31105 sedan (двигатель Chrysler)  "/>
    <s v="1997-"/>
    <s v="@"/>
    <m/>
    <s v="0165"/>
    <s v="1300/75"/>
    <m/>
    <n v="2750"/>
    <n v="2475"/>
    <n v="3437.5"/>
    <n v="2921.875"/>
  </r>
  <r>
    <x v="7"/>
    <s v="H"/>
    <s v="Volga - 3110, 31105 sedan (двигатель Chrysler)  "/>
    <s v="1997-"/>
    <s v="@"/>
    <m/>
    <s v="0165"/>
    <s v="1300/75"/>
    <m/>
    <n v="2500"/>
    <n v="2250"/>
    <n v="3125"/>
    <n v="2656.25"/>
  </r>
  <r>
    <x v="8"/>
    <s v="F"/>
    <s v="Gazelle - 2705, 3221minibus (глушитель в бок)         "/>
    <s v="1995-2006"/>
    <s v="@"/>
    <m/>
    <s v="0049"/>
    <s v="2000/100"/>
    <m/>
    <n v="5050"/>
    <n v="4545"/>
    <n v="6312.5"/>
    <n v="5365.625"/>
  </r>
  <r>
    <x v="9"/>
    <s v="F"/>
    <s v="Gazelle - 3302 van (глушитель в бок)"/>
    <s v="1995-"/>
    <s v="@"/>
    <m/>
    <s v="0049"/>
    <s v="2000/75"/>
    <m/>
    <n v="5606.9400000000005"/>
    <n v="5046.246000000001"/>
    <n v="7008.6750000000011"/>
    <n v="5957.3737500000007"/>
  </r>
  <r>
    <x v="10"/>
    <s v="F"/>
    <s v="Gazelle - 2752 Sobol, 2217 Barguzin minibus (глушитель в бок)"/>
    <s v="1999/12-2006"/>
    <s v="@"/>
    <m/>
    <s v="0049"/>
    <s v="1400/75"/>
    <m/>
    <n v="3942.3"/>
    <n v="3548.07"/>
    <n v="4927.875"/>
    <n v="4188.6937499999995"/>
  </r>
  <r>
    <x v="11"/>
    <s v="A"/>
    <s v="Gazelle - 2752 Sobol, 2217 Barguzin minibus "/>
    <s v="1999/12-2006"/>
    <s v="@"/>
    <m/>
    <s v="0140"/>
    <s v="1000/75"/>
    <m/>
    <n v="2580"/>
    <n v="2322"/>
    <n v="3225"/>
    <n v="2741.25"/>
  </r>
  <r>
    <x v="12"/>
    <s v="A"/>
    <s v="Gazelle - 2705 minibus "/>
    <s v="1995-2009"/>
    <s v="@"/>
    <m/>
    <s v="0140"/>
    <s v="1500/75"/>
    <m/>
    <n v="3020"/>
    <n v="2718"/>
    <n v="3775"/>
    <n v="3208.75"/>
  </r>
  <r>
    <x v="13"/>
    <s v="A"/>
    <s v="Gazelle - 3302 van, 33023 van (фермер с двойной кабиной), не подходит для удлиненной базы"/>
    <s v="1997-"/>
    <s v="@"/>
    <m/>
    <s v="0140"/>
    <s v="1400/75"/>
    <m/>
    <n v="2869.26"/>
    <n v="2582.3340000000003"/>
    <n v="3586.5750000000003"/>
    <n v="3048.5887500000003"/>
  </r>
  <r>
    <x v="14"/>
    <s v="A"/>
    <s v="Maxus minibus "/>
    <s v="2005-"/>
    <s v="@"/>
    <m/>
    <s v="0173"/>
    <s v="1500/75"/>
    <m/>
    <n v="3074.28"/>
    <n v="2766.8520000000003"/>
    <n v="3842.8500000000004"/>
    <n v="3266.4225000000001"/>
  </r>
  <r>
    <x v="15"/>
    <s v="F"/>
    <s v="GAZ Valday"/>
    <s v="2010-"/>
    <s v="@"/>
    <m/>
    <s v="F"/>
    <s v="3500/100"/>
    <m/>
    <n v="5950"/>
    <n v="5355"/>
    <n v="7437.5"/>
    <n v="6321.875"/>
  </r>
  <r>
    <x v="16"/>
    <s v="F"/>
    <s v="Gazelle Next (бортовая)    (без электрики)"/>
    <s v="2013-"/>
    <s v="@"/>
    <m/>
    <s v="F"/>
    <s v="2500/100"/>
    <m/>
    <n v="5889.4800000000005"/>
    <n v="5300.5320000000002"/>
    <n v="7361.85"/>
    <n v="6257.5725000000002"/>
  </r>
  <r>
    <x v="17"/>
    <s v="F"/>
    <s v="Gazelle Next (ЦМФ)    (без электрики)"/>
    <s v="2016-"/>
    <s v="@"/>
    <m/>
    <s v="F"/>
    <s v="2500/120"/>
    <m/>
    <n v="4845"/>
    <n v="4360.5"/>
    <n v="6056.25"/>
    <n v="5147.8125"/>
  </r>
  <r>
    <x v="0"/>
    <m/>
    <s v="UAZ"/>
    <m/>
    <m/>
    <m/>
    <m/>
    <m/>
    <m/>
    <m/>
    <m/>
    <m/>
    <m/>
  </r>
  <r>
    <x v="18"/>
    <s v="A"/>
    <s v="Uaz - 469, 31512, 31514, 2206, 3303, 3909, 3962, 37414x4"/>
    <s v="1972-"/>
    <s v="@"/>
    <m/>
    <s v="0189"/>
    <s v="1000/75"/>
    <m/>
    <n v="1801.32"/>
    <n v="1621.1879999999999"/>
    <n v="2251.65"/>
    <n v="1913.9024999999999"/>
  </r>
  <r>
    <x v="19"/>
    <s v="H"/>
    <s v="Uaz - 469, 31512, 31514, 2206, 3303, 3909, 3962, 37414x4"/>
    <s v="1972-"/>
    <s v="@"/>
    <m/>
    <s v="нет"/>
    <s v="1000/75"/>
    <m/>
    <n v="1534.08"/>
    <n v="1380.672"/>
    <n v="1917.6"/>
    <n v="1629.9599999999998"/>
  </r>
  <r>
    <x v="20"/>
    <s v="A"/>
    <s v="Uaz-3159, 3160, 3962, Hunter (без электрики)"/>
    <m/>
    <s v="@"/>
    <m/>
    <s v="8820"/>
    <s v="1500/75"/>
    <m/>
    <n v="2416.38"/>
    <n v="2174.7420000000002"/>
    <n v="3020.4750000000004"/>
    <n v="2567.4037500000004"/>
  </r>
  <r>
    <x v="21"/>
    <s v="А"/>
    <s v="Uaz - Gargo / Patriot Pick-up"/>
    <s v="2009-2015  2015-"/>
    <s v="@"/>
    <m/>
    <s v="0220"/>
    <s v="1500/75"/>
    <m/>
    <n v="2491.86"/>
    <n v="2242.674"/>
    <n v="3114.8250000000003"/>
    <n v="2647.6012500000002"/>
  </r>
  <r>
    <x v="22"/>
    <s v="A"/>
    <s v="Uaz - 3159, 3160, 3162, 3163 Patriot 4x4 (без электрики)"/>
    <s v="1994-2015       2015-"/>
    <s v="@"/>
    <m/>
    <s v="8820"/>
    <s v="1500/75"/>
    <m/>
    <n v="2419.44"/>
    <n v="2177.4960000000001"/>
    <n v="3024.3"/>
    <n v="2570.6550000000002"/>
  </r>
  <r>
    <x v="23"/>
    <s v="E"/>
    <s v="Uaz - 3159, 3160, 3162, 3163 Patriot 4x4 (без электрики)"/>
    <s v="1994-2015       2015-"/>
    <s v="@"/>
    <s v="Нов. 2015"/>
    <m/>
    <m/>
    <m/>
    <n v="3267.06"/>
    <n v="2940.3539999999998"/>
    <n v="4083.8249999999998"/>
    <n v="3471.2512499999998"/>
  </r>
  <r>
    <x v="0"/>
    <m/>
    <s v="Lada"/>
    <m/>
    <m/>
    <m/>
    <m/>
    <m/>
    <m/>
    <m/>
    <m/>
    <m/>
    <m/>
  </r>
  <r>
    <x v="24"/>
    <s v="H"/>
    <s v="2105, 21051, 21053, 2107, 21071, 21073 sedan"/>
    <s v="1981-2012"/>
    <s v="@"/>
    <m/>
    <s v="0150"/>
    <s v="600/75"/>
    <m/>
    <n v="2003.28"/>
    <n v="1802.952"/>
    <n v="2504.1"/>
    <n v="2128.4849999999997"/>
  </r>
  <r>
    <x v="25"/>
    <s v="A"/>
    <m/>
    <m/>
    <s v="@"/>
    <m/>
    <s v="0150"/>
    <s v="600/75"/>
    <m/>
    <n v="2093.04"/>
    <n v="1883.7360000000001"/>
    <n v="2616.3000000000002"/>
    <n v="2223.855"/>
  </r>
  <r>
    <x v="26"/>
    <s v="A"/>
    <s v="2104, 21043, 21044, 21047 wagon"/>
    <m/>
    <s v="@"/>
    <m/>
    <s v="0145"/>
    <s v="600/75"/>
    <m/>
    <n v="2200"/>
    <n v="1980"/>
    <n v="2750"/>
    <n v="2337.5"/>
  </r>
  <r>
    <x v="27"/>
    <s v="H"/>
    <s v=" Samara 2108 coupe                                                                                 Samara 2109 sedan                                                                                                            Samara 21099 HB                                                     "/>
    <s v="1984-             1987-               1990-"/>
    <s v="@"/>
    <m/>
    <s v="0805"/>
    <s v="600/75"/>
    <m/>
    <n v="1950"/>
    <n v="1755"/>
    <n v="2437.5"/>
    <n v="2071.875"/>
  </r>
  <r>
    <x v="28"/>
    <s v="A"/>
    <m/>
    <m/>
    <s v="@"/>
    <m/>
    <s v="0173"/>
    <s v="600/75"/>
    <m/>
    <n v="2284.8000000000002"/>
    <n v="2056.3200000000002"/>
    <n v="2856"/>
    <n v="2427.6"/>
  </r>
  <r>
    <x v="29"/>
    <s v="H"/>
    <s v="2121 4x4                                                                                        21213, 21214 4x4                                                                                          2131, 2129 4x4 "/>
    <s v="1977-              1993-           1995-      2015-"/>
    <s v="@"/>
    <m/>
    <s v="0160"/>
    <s v="800/75"/>
    <m/>
    <n v="2380"/>
    <n v="2142"/>
    <n v="2975"/>
    <n v="2528.75"/>
  </r>
  <r>
    <x v="30"/>
    <s v="A"/>
    <s v="2121 4x4                                                                                           21213, 21214 4x4                                                                                           2131, 2129 4x5"/>
    <s v="1977-              1993-            1995-      2015-"/>
    <s v="@"/>
    <s v="Нов. 2015"/>
    <s v="0160"/>
    <s v="800/75"/>
    <m/>
    <n v="2500"/>
    <n v="2250"/>
    <n v="3125"/>
    <n v="2656.25"/>
  </r>
  <r>
    <x v="31"/>
    <s v="A"/>
    <s v="Urban 4x4   (без электрики)"/>
    <s v="2014-"/>
    <s v="@"/>
    <s v="Нов.2015"/>
    <m/>
    <m/>
    <m/>
    <n v="2431.6799999999998"/>
    <n v="2188.5119999999997"/>
    <n v="3039.6"/>
    <n v="2583.66"/>
  </r>
  <r>
    <x v="32"/>
    <s v="H"/>
    <s v="2110 sedan                                                                                          2111 wagon                                                                                                 2112 HB                                                                                                             Priora 21703 sedan "/>
    <s v="1996/1-          1999-            2000-             2007-                  "/>
    <s v="@"/>
    <m/>
    <s v="0845"/>
    <s v="800/75"/>
    <m/>
    <n v="2252.16"/>
    <n v="2026.944"/>
    <n v="2815.2"/>
    <n v="2392.9199999999996"/>
  </r>
  <r>
    <x v="33"/>
    <s v="A"/>
    <s v="2113 coupe                                                                                             2114 HB                                                                                                         2115 sedan  "/>
    <s v="2003-                                             2008-"/>
    <s v="@"/>
    <m/>
    <s v="0186"/>
    <s v="750/75"/>
    <m/>
    <n v="2258.2800000000002"/>
    <n v="2032.4520000000002"/>
    <n v="2822.8500000000004"/>
    <n v="2399.4225000000001"/>
  </r>
  <r>
    <x v="34"/>
    <s v="H"/>
    <s v="2113 coupe                                                                                                       2114 HB                                                                                                                        2115 sedan  "/>
    <s v="2003-                 1999-                                                1999-      "/>
    <s v="@"/>
    <m/>
    <s v="0140"/>
    <s v="750/75"/>
    <m/>
    <n v="1880"/>
    <n v="1692"/>
    <n v="2350"/>
    <n v="1997.5"/>
  </r>
  <r>
    <x v="4"/>
    <s v="A"/>
    <s v="Lada - Kalina 1118 sedan_x000a_Lada - Kalina 1117 wagon  _x000a_Lada - Granta                                                                         Lada - Granta Liftback                                                             Lada – Kalina 2 2194 wagon"/>
    <s v="2005-             2007- _x000a_2012-         2014-       2013-"/>
    <s v="@"/>
    <m/>
    <s v="0186"/>
    <s v="1100/50"/>
    <m/>
    <n v="1946.16"/>
    <n v="1751.5440000000001"/>
    <n v="2432.7000000000003"/>
    <n v="2067.7950000000001"/>
  </r>
  <r>
    <x v="3"/>
    <s v="E"/>
    <s v="Granta                                                                                          Granta Liftback                                                                                                                Kalina 1118 sedan             _x000a_Kalina 1117 wagon                                                                             Kalina 2 2194 wagon    (без электрики)"/>
    <s v=" 2012-      2014-       2005-       2007-      2013-"/>
    <s v="@"/>
    <m/>
    <s v="0187"/>
    <s v="1100/51"/>
    <m/>
    <n v="3162"/>
    <n v="2845.8"/>
    <n v="3952.5"/>
    <n v="3359.625"/>
  </r>
  <r>
    <x v="35"/>
    <s v="A"/>
    <s v="Kalina Сross (без электрики)"/>
    <s v="2014-2016/4"/>
    <s v="@"/>
    <s v="Нов. 2015"/>
    <m/>
    <m/>
    <m/>
    <n v="1922.7"/>
    <n v="1730.43"/>
    <n v="2403.375"/>
    <n v="2042.8687499999999"/>
  </r>
  <r>
    <x v="36"/>
    <s v="H"/>
    <s v="Lada - Kalina 1119 HB                                                                        Lada - Kalina 2 2192 HB                                                      "/>
    <s v="2005-"/>
    <s v="@"/>
    <m/>
    <s v="0850"/>
    <s v="900/50"/>
    <m/>
    <n v="1860.48"/>
    <n v="1674.432"/>
    <n v="2325.6"/>
    <n v="1976.7599999999998"/>
  </r>
  <r>
    <x v="5"/>
    <s v="A"/>
    <m/>
    <m/>
    <s v="@"/>
    <m/>
    <s v="0186"/>
    <s v="1100/50"/>
    <m/>
    <n v="2024"/>
    <n v="1821.6000000000001"/>
    <n v="2530"/>
    <n v="2150.5"/>
  </r>
  <r>
    <x v="37"/>
    <s v="H"/>
    <s v="Lada - Priora 21703 HB                                                                                                     Lada - Priora sedan,  wagon                                                                                                          Lada - 2110 sedan                                                                                          Lada - 2111 wagon                                                                                             Lada - 2112 HB "/>
    <s v="2007- 2013               2007- 2013       1996/1-             1999-                                           2000-2007"/>
    <s v="@"/>
    <m/>
    <s v="0842"/>
    <s v="800/75"/>
    <m/>
    <n v="2008.38"/>
    <n v="1807.5420000000001"/>
    <n v="2510.4750000000004"/>
    <n v="2133.9037500000004"/>
  </r>
  <r>
    <x v="38"/>
    <s v="A"/>
    <m/>
    <m/>
    <s v="@"/>
    <m/>
    <s v="0842"/>
    <s v="800/75"/>
    <m/>
    <n v="2116.5"/>
    <n v="1904.8500000000001"/>
    <n v="2645.625"/>
    <n v="2248.78125"/>
  </r>
  <r>
    <x v="39"/>
    <s v="A"/>
    <s v="Priora Sedan, HB (без электрики)"/>
    <s v="2013-"/>
    <s v="@"/>
    <m/>
    <s v="0842"/>
    <s v="1200/50"/>
    <m/>
    <n v="2131.8000000000002"/>
    <n v="1918.6200000000001"/>
    <n v="2664.75"/>
    <n v="2265.0374999999999"/>
  </r>
  <r>
    <x v="40"/>
    <s v="A"/>
    <s v="Largus                                                                                                    Largus cross (без электрики)"/>
    <s v="2012-"/>
    <s v="@"/>
    <m/>
    <s v="0829"/>
    <s v="1300/75"/>
    <m/>
    <n v="3215.04"/>
    <n v="2893.5360000000001"/>
    <n v="4018.8"/>
    <n v="3415.98"/>
  </r>
  <r>
    <x v="41"/>
    <s v="A"/>
    <s v="Vesta sedan (без электрики"/>
    <s v="2015-"/>
    <s v="@"/>
    <s v="Новинка 2016г"/>
    <s v="8212"/>
    <s v="900/70"/>
    <s v="022-007"/>
    <n v="2550"/>
    <n v="2295"/>
    <n v="3187.5"/>
    <n v="2709.375"/>
  </r>
  <r>
    <x v="42"/>
    <s v="A"/>
    <s v="X-Ray (без электрики)"/>
    <s v="2016-"/>
    <s v="@"/>
    <s v="Новинка 2016г"/>
    <s v="8889"/>
    <s v="900/75"/>
    <s v="022-007"/>
    <n v="2990"/>
    <n v="2691"/>
    <n v="3737.5"/>
    <n v="3176.875"/>
  </r>
  <r>
    <x v="0"/>
    <m/>
    <s v="Аксессуары"/>
    <m/>
    <m/>
    <m/>
    <m/>
    <m/>
    <m/>
    <m/>
    <m/>
    <m/>
    <m/>
  </r>
  <r>
    <x v="43"/>
    <m/>
    <s v="Розетка к ТСУ  EDV 7P (без эл. жгута)"/>
    <m/>
    <m/>
    <m/>
    <m/>
    <m/>
    <m/>
    <n v="141"/>
    <n v="126.9"/>
    <n v="176.25"/>
    <n v="149.8125"/>
  </r>
  <r>
    <x v="0"/>
    <m/>
    <s v="Шары"/>
    <m/>
    <m/>
    <m/>
    <m/>
    <m/>
    <m/>
    <m/>
    <m/>
    <m/>
    <m/>
  </r>
  <r>
    <x v="44"/>
    <m/>
    <s v="Сцепной шар типа &quot;А&quot; (ISO/50)"/>
    <m/>
    <m/>
    <m/>
    <m/>
    <m/>
    <m/>
    <n v="996"/>
    <s v="Без скидки"/>
    <n v="1250"/>
    <n v="1063"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  <r>
    <x v="0"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6">
  <r>
    <x v="0"/>
    <m/>
    <s v="AUDI"/>
    <m/>
    <m/>
    <m/>
    <m/>
    <m/>
    <m/>
    <m/>
    <m/>
    <m/>
  </r>
  <r>
    <x v="1"/>
    <s v="A"/>
    <s v="A3 HB 3 Doors / HB 5 Doors                                                                           SEAT Leon HB                                                               SKODA Octavia III HB                                                                         VOLKSWAGEN Golf VII HB  (без электрики)"/>
    <s v="2012-               2012-             2013-                  2014-"/>
    <s v="@"/>
    <s v="%"/>
    <s v="2000/80"/>
    <s v="022-007"/>
    <n v="9516"/>
    <n v="8564.4"/>
    <n v="11609.52"/>
    <n v="9868.0920000000006"/>
  </r>
  <r>
    <x v="2"/>
    <s v="AK41"/>
    <s v="A3 HB 3 Doors / HB 5 Doors                                                                           SEAT Leon HB                                                               SKODA Octavia III HB                                                                         VOLKSWAGEN Golf VII HB  (без электрики)"/>
    <s v="2012-               2012-             2013-                  2014-"/>
    <s v="@"/>
    <m/>
    <s v="2000/80"/>
    <s v="022-007"/>
    <n v="17459"/>
    <n v="15713.1"/>
    <n v="21299.98"/>
    <n v="18104.983"/>
  </r>
  <r>
    <x v="3"/>
    <s v="A"/>
    <s v="Q3                                                                                         VW Tiguan (без электрики)"/>
    <s v="2011 -                          2007- "/>
    <s v="@"/>
    <s v="%"/>
    <s v="2665/110"/>
    <s v="022-007"/>
    <n v="10127"/>
    <n v="9114.3000000000011"/>
    <n v="12354.94"/>
    <n v="10501.699000000001"/>
  </r>
  <r>
    <x v="4"/>
    <s v="AK41"/>
    <s v="Q3                                                                                         VW Tiguan (без электрики)"/>
    <s v="2011 -                          2007- "/>
    <s v="@"/>
    <s v="%"/>
    <s v="2980/100"/>
    <s v="022-007"/>
    <n v="21827"/>
    <n v="19644.3"/>
    <n v="26628.94"/>
    <n v="22634.598999999998"/>
  </r>
  <r>
    <x v="5"/>
    <s v="A"/>
    <s v="Q7                                                                                              VW Touareg  (без электрики)"/>
    <s v="2006 -                          2002- "/>
    <s v="@"/>
    <s v="%"/>
    <s v="3500/140"/>
    <s v="022-007"/>
    <n v="14352"/>
    <n v="12916.800000000001"/>
    <n v="17509.439999999999"/>
    <n v="14883.023999999998"/>
  </r>
  <r>
    <x v="0"/>
    <m/>
    <s v="BMW"/>
    <m/>
    <m/>
    <m/>
    <m/>
    <m/>
    <m/>
    <m/>
    <m/>
    <m/>
  </r>
  <r>
    <x v="6"/>
    <s v="AK 40/41"/>
    <s v="X-3 4x4 (F25) (без электрики)"/>
    <s v="2010-"/>
    <s v="@"/>
    <s v="%"/>
    <s v="2400/100"/>
    <s v="022-007"/>
    <n v="18642"/>
    <n v="16777.8"/>
    <n v="22743.239999999998"/>
    <n v="19331.753999999997"/>
  </r>
  <r>
    <x v="7"/>
    <s v="A"/>
    <s v="X-5 4x4 (E70) (без электрики)"/>
    <s v="2007-2013"/>
    <s v="@"/>
    <s v="%"/>
    <s v="3500/150"/>
    <s v="022-007"/>
    <n v="13260"/>
    <n v="11934"/>
    <n v="16177.199999999999"/>
    <n v="13750.619999999999"/>
  </r>
  <r>
    <x v="8"/>
    <s v="AK 40/41"/>
    <s v="X-5 4x4 (E70, F15) (без электрики)"/>
    <s v="2007-2013     2013-"/>
    <s v="@"/>
    <m/>
    <s v="3500/150"/>
    <s v="022-007"/>
    <n v="29094"/>
    <n v="26184.600000000002"/>
    <n v="35494.68"/>
    <n v="30170.477999999999"/>
  </r>
  <r>
    <x v="9"/>
    <s v="AK 40/41"/>
    <s v="X-6 (E71) (без электрики)"/>
    <s v="2008-"/>
    <s v="@"/>
    <m/>
    <s v="3055/140"/>
    <s v="022-007"/>
    <n v="19740"/>
    <n v="17766"/>
    <n v="26650"/>
    <n v="22652"/>
  </r>
  <r>
    <x v="0"/>
    <m/>
    <s v="CHEVROLET"/>
    <m/>
    <m/>
    <m/>
    <m/>
    <m/>
    <m/>
    <m/>
    <m/>
    <m/>
  </r>
  <r>
    <x v="10"/>
    <s v="AK41"/>
    <s v="Trax                                                          Opel Mokka (без электрики)"/>
    <s v="2013-                  2012-"/>
    <s v="@"/>
    <s v="%"/>
    <s v="1200/75"/>
    <s v="022-007"/>
    <n v="17797"/>
    <n v="16017.300000000001"/>
    <n v="21712.34"/>
    <n v="18455.489000000001"/>
  </r>
  <r>
    <x v="0"/>
    <m/>
    <s v="CITROEN"/>
    <m/>
    <m/>
    <m/>
    <m/>
    <m/>
    <m/>
    <m/>
    <m/>
    <m/>
  </r>
  <r>
    <x v="11"/>
    <s v="AK 40/41"/>
    <s v="C-Crosser (без электрики)"/>
    <n v="2007"/>
    <s v="@"/>
    <s v="%"/>
    <s v="2000/141"/>
    <s v="022-007"/>
    <n v="24843"/>
    <n v="22358.7"/>
    <n v="30308.46"/>
    <n v="25762.190999999999"/>
  </r>
  <r>
    <x v="12"/>
    <s v="F"/>
    <s v="Jumper III                                                        Fiat Ducato IV, Peugeot Boxer III (без электрики)"/>
    <s v="2006-"/>
    <s v="@"/>
    <s v="%"/>
    <s v="2500/100"/>
    <s v="022-007"/>
    <n v="14040"/>
    <n v="12636"/>
    <n v="17128.8"/>
    <n v="14559.48"/>
  </r>
  <r>
    <x v="13"/>
    <s v="F"/>
    <s v="Jumper III                                                        Fiat Ducato IV, Peugeot Boxer III PICK-UP (без электрики)"/>
    <s v="2006-"/>
    <s v="@"/>
    <m/>
    <s v="3000/150"/>
    <s v="022-007"/>
    <n v="9900"/>
    <n v="8910"/>
    <n v="12900"/>
    <n v="10965"/>
  </r>
  <r>
    <x v="0"/>
    <m/>
    <s v="FIAT"/>
    <m/>
    <m/>
    <m/>
    <m/>
    <m/>
    <m/>
    <m/>
    <m/>
    <m/>
  </r>
  <r>
    <x v="12"/>
    <s v="F"/>
    <s v="Ducato IV                                                Peugeot Boxer III, Citroen Jumper III (без электрики)"/>
    <s v="2006-"/>
    <s v="@"/>
    <s v="%"/>
    <s v="2500/100"/>
    <s v="022-007"/>
    <n v="14040"/>
    <n v="12636"/>
    <n v="17128.8"/>
    <n v="14559.48"/>
  </r>
  <r>
    <x v="13"/>
    <s v="F"/>
    <s v="Jumper III                                                        Fiat Ducato IV, Peugeot Boxer III PICK-UP (без электрики)"/>
    <s v="2006-"/>
    <s v="@"/>
    <m/>
    <s v="3000/150"/>
    <s v="022-007"/>
    <n v="9900"/>
    <n v="8910"/>
    <n v="12900"/>
    <n v="10965"/>
  </r>
  <r>
    <x v="0"/>
    <m/>
    <s v="FORD"/>
    <m/>
    <m/>
    <m/>
    <m/>
    <m/>
    <m/>
    <m/>
    <m/>
    <m/>
  </r>
  <r>
    <x v="14"/>
    <s v="A"/>
    <s v="Kuga 4x4 (без электрики)"/>
    <s v="2013-"/>
    <s v="@"/>
    <m/>
    <s v="2100/100"/>
    <s v="022-007"/>
    <n v="11856"/>
    <n v="10670.4"/>
    <n v="14464.32"/>
    <n v="12294.671999999999"/>
  </r>
  <r>
    <x v="15"/>
    <s v="AK41"/>
    <s v="Kuga 4x4 (без электрики)"/>
    <s v="2013-"/>
    <s v="@"/>
    <m/>
    <s v="2100/100"/>
    <s v="022-007"/>
    <n v="19331"/>
    <n v="17397.900000000001"/>
    <n v="23583.82"/>
    <n v="20046.246999999999"/>
  </r>
  <r>
    <x v="0"/>
    <m/>
    <s v="HONDA"/>
    <m/>
    <m/>
    <m/>
    <m/>
    <m/>
    <m/>
    <m/>
    <m/>
    <m/>
  </r>
  <r>
    <x v="16"/>
    <s v="AK41"/>
    <s v="CR-V"/>
    <s v="2013-"/>
    <s v="@"/>
    <s v="%"/>
    <s v="2000/100"/>
    <s v="022-007"/>
    <n v="16870"/>
    <n v="15183"/>
    <n v="22770"/>
    <n v="19354"/>
  </r>
  <r>
    <x v="0"/>
    <m/>
    <s v="HYUNDAI"/>
    <m/>
    <m/>
    <m/>
    <m/>
    <m/>
    <m/>
    <m/>
    <m/>
    <m/>
  </r>
  <r>
    <x v="17"/>
    <s v="A"/>
    <s v="i30 Crosswagon                                          KIA Cee'd Sporty Wagon  (без электрики)"/>
    <s v="2012-"/>
    <s v="@"/>
    <s v="%"/>
    <s v="1500/75"/>
    <m/>
    <n v="8730"/>
    <n v="7863"/>
    <n v="10910"/>
    <n v="9276"/>
  </r>
  <r>
    <x v="18"/>
    <s v="A"/>
    <s v=" i40 sedan, wagon  (без электрики)"/>
    <s v="2011-"/>
    <s v="@"/>
    <s v="%"/>
    <s v="1800/80"/>
    <m/>
    <n v="8660"/>
    <n v="7794"/>
    <n v="10830"/>
    <n v="9205"/>
  </r>
  <r>
    <x v="19"/>
    <s v="A"/>
    <s v=" IX35 4х4 (без электрики)"/>
    <s v="2010-"/>
    <s v="@"/>
    <s v="%"/>
    <s v="2339/90"/>
    <m/>
    <n v="11180"/>
    <n v="10062"/>
    <n v="13639.6"/>
    <n v="11593.66"/>
  </r>
  <r>
    <x v="20"/>
    <s v="AK40/41"/>
    <s v=" IX35 4х4 (без электрики)"/>
    <s v="2010-"/>
    <s v="@"/>
    <s v="%"/>
    <s v="2339/90"/>
    <m/>
    <n v="19513"/>
    <n v="17561.7"/>
    <n v="23805.86"/>
    <n v="20234.981"/>
  </r>
  <r>
    <x v="21"/>
    <s v="A"/>
    <s v="Santa Fe (без электрики)"/>
    <s v="2006-2012"/>
    <s v="@"/>
    <s v="%"/>
    <s v="2700/110"/>
    <m/>
    <n v="12623"/>
    <n v="11360.7"/>
    <n v="15400.06"/>
    <n v="13090.050999999999"/>
  </r>
  <r>
    <x v="22"/>
    <s v="AK 40/41"/>
    <s v="Santa Fe (без электрики)"/>
    <s v="2006-2012"/>
    <s v="@"/>
    <s v="%"/>
    <s v="2700/110"/>
    <m/>
    <n v="22984"/>
    <n v="20685.600000000002"/>
    <n v="28040.48"/>
    <n v="23834.407999999999"/>
  </r>
  <r>
    <x v="23"/>
    <s v="A"/>
    <s v="Santa Fe       (без электрики)                         "/>
    <s v="2012-"/>
    <s v="@"/>
    <s v="%"/>
    <s v="2500/100"/>
    <s v="022-007"/>
    <n v="11128"/>
    <n v="10015.200000000001"/>
    <n v="13576.16"/>
    <n v="11539.735999999999"/>
  </r>
  <r>
    <x v="0"/>
    <m/>
    <s v="Jeep  "/>
    <m/>
    <m/>
    <m/>
    <m/>
    <m/>
    <m/>
    <m/>
    <m/>
    <m/>
  </r>
  <r>
    <x v="24"/>
    <s v="A"/>
    <s v="Grand Cherokee                             Commander (без электрики)                                          "/>
    <s v="2006-2011              2006-"/>
    <s v="@"/>
    <s v="%"/>
    <s v="3500/150"/>
    <m/>
    <n v="9334"/>
    <n v="8400.6"/>
    <n v="11387.48"/>
    <n v="9679.3580000000002"/>
  </r>
  <r>
    <x v="25"/>
    <s v="AK6"/>
    <s v="Grand Cherokee                            Commander (без электрики)                                          "/>
    <s v="2006-2011              2006-"/>
    <s v="@"/>
    <s v="%"/>
    <s v="3500/150"/>
    <m/>
    <n v="15587"/>
    <n v="14028.300000000001"/>
    <n v="19016.14"/>
    <n v="16163.718999999999"/>
  </r>
  <r>
    <x v="0"/>
    <m/>
    <s v="KIA"/>
    <m/>
    <m/>
    <m/>
    <m/>
    <m/>
    <m/>
    <m/>
    <m/>
    <m/>
  </r>
  <r>
    <x v="17"/>
    <s v="A"/>
    <s v="Cee'd Sporty Wagon  (без электрики)                       HYUNDAI i30 Crosswagon"/>
    <s v="2012-"/>
    <s v="@"/>
    <s v="%"/>
    <s v="1500/75"/>
    <m/>
    <n v="8730"/>
    <n v="7863"/>
    <n v="10910"/>
    <n v="9276"/>
  </r>
  <r>
    <x v="26"/>
    <s v="A"/>
    <s v="Sorento 4x4 (без электрики)"/>
    <s v="2012-"/>
    <s v="@"/>
    <s v="%"/>
    <s v="2500/100"/>
    <s v="022-007"/>
    <n v="11115"/>
    <n v="10003.5"/>
    <n v="13560.3"/>
    <n v="11526.254999999999"/>
  </r>
  <r>
    <x v="27"/>
    <s v="AK 40/41"/>
    <s v="Sorento 4x4 (без электрики)"/>
    <s v="2012-"/>
    <s v="@"/>
    <s v="%"/>
    <s v="2500/100"/>
    <s v="022-007"/>
    <n v="18902"/>
    <n v="17011.8"/>
    <n v="23060.44"/>
    <n v="19601.374"/>
  </r>
  <r>
    <x v="19"/>
    <s v="A"/>
    <s v="Sportage 4x4 (без электрики)"/>
    <s v="2010-"/>
    <s v="@"/>
    <s v="%"/>
    <s v="2339/90"/>
    <s v="022-007"/>
    <n v="11180"/>
    <n v="10062"/>
    <n v="13639.6"/>
    <n v="11593.66"/>
  </r>
  <r>
    <x v="20"/>
    <s v="AK40/41"/>
    <s v="Sportage 4x4 (без электрики)"/>
    <s v="2010-"/>
    <s v="@"/>
    <s v="%"/>
    <s v="2339/90"/>
    <s v="022-007"/>
    <n v="19513"/>
    <n v="17561.7"/>
    <n v="23805.86"/>
    <n v="20234.981"/>
  </r>
  <r>
    <x v="0"/>
    <m/>
    <s v="LAND ROVER"/>
    <m/>
    <m/>
    <m/>
    <m/>
    <m/>
    <m/>
    <m/>
    <m/>
    <m/>
  </r>
  <r>
    <x v="28"/>
    <s v="A"/>
    <s v="Freelander II 4x4  (без электрики)"/>
    <s v="2007-"/>
    <s v="@"/>
    <s v="%"/>
    <s v="2300/130"/>
    <s v="022-007"/>
    <n v="12025"/>
    <n v="10822.5"/>
    <n v="14670.5"/>
    <n v="12469.924999999999"/>
  </r>
  <r>
    <x v="29"/>
    <s v="AK6"/>
    <s v="Freelander II 4x4  (без электрики)"/>
    <s v="2007-"/>
    <s v="@"/>
    <s v="%"/>
    <s v="2300/130"/>
    <s v="022-007"/>
    <n v="18707"/>
    <n v="16836.3"/>
    <n v="22822.54"/>
    <n v="19399.159"/>
  </r>
  <r>
    <x v="0"/>
    <m/>
    <s v="MAZDA"/>
    <m/>
    <m/>
    <m/>
    <m/>
    <m/>
    <m/>
    <m/>
    <m/>
    <m/>
  </r>
  <r>
    <x v="30"/>
    <s v="A"/>
    <s v="3 HB (без электрики)"/>
    <s v="4/2013-"/>
    <s v="@"/>
    <s v="%"/>
    <s v="1860/75"/>
    <s v="022-007"/>
    <n v="10621"/>
    <n v="9558.9"/>
    <n v="12957.619999999999"/>
    <n v="11013.976999999999"/>
  </r>
  <r>
    <x v="31"/>
    <s v="A"/>
    <s v="3 sedan (без электрики)"/>
    <s v="8/2013-"/>
    <s v="@"/>
    <s v="%"/>
    <s v="1910/90"/>
    <s v="022-007"/>
    <n v="10244"/>
    <n v="9219.6"/>
    <n v="12497.68"/>
    <n v="10623.028"/>
  </r>
  <r>
    <x v="32"/>
    <s v="A"/>
    <s v="6 HB / Sedan / Wagon  (без электрики)"/>
    <s v="2013-"/>
    <s v="@"/>
    <s v="%"/>
    <s v="1800/75"/>
    <s v="022-007"/>
    <n v="10660"/>
    <n v="9594"/>
    <n v="13005.199999999999"/>
    <n v="11054.419999999998"/>
  </r>
  <r>
    <x v="33"/>
    <s v="AK41"/>
    <s v="6 HB / Sedan / Wagon  (без электрики)"/>
    <s v="2013-"/>
    <s v="@"/>
    <s v="%"/>
    <s v="1800/75"/>
    <s v="022-007"/>
    <n v="18187"/>
    <n v="16368.300000000001"/>
    <n v="22188.14"/>
    <n v="18859.918999999998"/>
  </r>
  <r>
    <x v="0"/>
    <m/>
    <s v="MERCEDES"/>
    <m/>
    <m/>
    <m/>
    <m/>
    <m/>
    <m/>
    <m/>
    <m/>
    <m/>
  </r>
  <r>
    <x v="34"/>
    <s v="AK41"/>
    <s v="M-Class (W164, W166) 4x4 (без электрики)"/>
    <s v="2005-"/>
    <s v="@"/>
    <s v="%"/>
    <s v="3500/140"/>
    <s v="022-007"/>
    <n v="30524"/>
    <n v="27471.600000000002"/>
    <n v="37239.279999999999"/>
    <n v="31653.387999999999"/>
  </r>
  <r>
    <x v="35"/>
    <s v="AK41"/>
    <s v="MERCEDES GLK APV   (без электрики)"/>
    <s v="2008-"/>
    <s v="@"/>
    <s v="%"/>
    <s v="2100/80"/>
    <s v="022-007"/>
    <n v="28327"/>
    <n v="25494.3"/>
    <n v="34558.94"/>
    <n v="29375.099000000002"/>
  </r>
  <r>
    <x v="36"/>
    <s v="AK6"/>
    <s v="R-Class (W251) (без электрики)"/>
    <s v="2006-"/>
    <s v="@"/>
    <s v="%"/>
    <s v="2100/85"/>
    <s v="022-007"/>
    <n v="30277"/>
    <n v="27249.3"/>
    <n v="36937.94"/>
    <n v="31397.249"/>
  </r>
  <r>
    <x v="0"/>
    <m/>
    <s v="MITSUBISHI"/>
    <m/>
    <m/>
    <m/>
    <m/>
    <m/>
    <m/>
    <m/>
    <m/>
    <m/>
  </r>
  <r>
    <x v="11"/>
    <s v="AK 40/41"/>
    <s v="Outlander XL 7 4x4 (без электрики)"/>
    <s v="2006/11-2013"/>
    <s v="@"/>
    <s v="%"/>
    <s v="2000/140"/>
    <s v="022-007"/>
    <n v="24843"/>
    <n v="22358.7"/>
    <n v="30308.46"/>
    <n v="25762.190999999999"/>
  </r>
  <r>
    <x v="37"/>
    <s v="AK 40/41"/>
    <s v="Outlander  (без электрики)"/>
    <s v="2013-"/>
    <s v="@"/>
    <s v="%"/>
    <s v="2000/100"/>
    <s v="022-007"/>
    <n v="17810"/>
    <n v="16029"/>
    <n v="22260"/>
    <n v="25762.190999999999"/>
  </r>
  <r>
    <x v="38"/>
    <s v="A"/>
    <s v="Pajero IV  APV 3/5 doors  (без электрики)"/>
    <s v="2007-"/>
    <s v="@"/>
    <m/>
    <s v="3300/135"/>
    <m/>
    <n v="15587"/>
    <n v="14028.300000000001"/>
    <n v="19016.14"/>
    <n v="16163.718999999999"/>
  </r>
  <r>
    <x v="0"/>
    <m/>
    <s v="NISSAN"/>
    <m/>
    <m/>
    <m/>
    <m/>
    <m/>
    <m/>
    <m/>
    <m/>
    <m/>
  </r>
  <r>
    <x v="39"/>
    <s v="A"/>
    <s v="Pathfinder (без электрики)"/>
    <s v="2005-2014"/>
    <s v="@"/>
    <s v="%"/>
    <s v="3000/120"/>
    <m/>
    <n v="7730"/>
    <n v="6957"/>
    <n v="10430"/>
    <n v="8865"/>
  </r>
  <r>
    <x v="40"/>
    <s v="A"/>
    <s v="Qashgai  (без электрики)"/>
    <s v="2014-"/>
    <s v="@"/>
    <m/>
    <s v="1800/100"/>
    <s v="022-007"/>
    <n v="12805"/>
    <n v="11524.5"/>
    <n v="15622.1"/>
    <n v="13278.785"/>
  </r>
  <r>
    <x v="41"/>
    <s v="AK41"/>
    <s v="Qashgai  (без электрики)"/>
    <s v="2014-"/>
    <s v="@"/>
    <m/>
    <s v="1800/100"/>
    <s v="022-007"/>
    <n v="18640"/>
    <n v="16776"/>
    <n v="23310"/>
    <n v="19813"/>
  </r>
  <r>
    <x v="0"/>
    <m/>
    <s v="OPEL"/>
    <m/>
    <m/>
    <m/>
    <m/>
    <m/>
    <m/>
    <m/>
    <m/>
    <m/>
  </r>
  <r>
    <x v="42"/>
    <s v="A"/>
    <s v="Astra H (Family) Caravan (без электрики)"/>
    <s v="2004-"/>
    <s v="@"/>
    <m/>
    <s v="1650/75"/>
    <s v="022-007"/>
    <n v="8827"/>
    <n v="7944.3"/>
    <n v="10768.94"/>
    <n v="9153.5990000000002"/>
  </r>
  <r>
    <x v="43"/>
    <s v="A"/>
    <s v="Mokka (без электрики)                                             Chevrolet Trax"/>
    <s v="2012-                  "/>
    <s v="@"/>
    <s v="%"/>
    <s v="1200/75"/>
    <s v="022-007"/>
    <n v="9165"/>
    <n v="8248.5"/>
    <n v="11181.3"/>
    <n v="9504.1049999999996"/>
  </r>
  <r>
    <x v="10"/>
    <s v="AK41"/>
    <s v="Mokka (без электрики)                                             Chevrolet Trax"/>
    <s v="2012-                  "/>
    <s v="@"/>
    <s v="%"/>
    <s v="1200/75"/>
    <s v="022-007"/>
    <n v="17797"/>
    <n v="16017.300000000001"/>
    <n v="21712.34"/>
    <n v="18455.489000000001"/>
  </r>
  <r>
    <x v="0"/>
    <m/>
    <s v="PEUGEOT"/>
    <m/>
    <m/>
    <m/>
    <m/>
    <m/>
    <m/>
    <m/>
    <m/>
    <m/>
  </r>
  <r>
    <x v="11"/>
    <s v="AK 40/41"/>
    <s v="4007 (без электрики)"/>
    <s v="2007-"/>
    <s v="@"/>
    <s v="%"/>
    <s v="2000/141"/>
    <s v="022-007"/>
    <n v="24843"/>
    <n v="22358.7"/>
    <n v="30308.46"/>
    <n v="25762.190999999999"/>
  </r>
  <r>
    <x v="12"/>
    <s v="F"/>
    <s v="Boxer III                                                          Fiat Ducato IV, Citroen Jumper III (без электрики)"/>
    <s v="2006-"/>
    <s v="@"/>
    <s v="%"/>
    <s v="2500/100"/>
    <s v="022-007"/>
    <n v="14040"/>
    <n v="12636"/>
    <n v="17128.8"/>
    <n v="14559.48"/>
  </r>
  <r>
    <x v="13"/>
    <s v="F"/>
    <s v="Jumper III                                                        Fiat Ducato IV, Peugeot Boxer III PICK-UP (без электрики)"/>
    <s v="2006-"/>
    <s v="@"/>
    <m/>
    <s v="3000/150"/>
    <s v="022-007"/>
    <n v="9900"/>
    <n v="8910"/>
    <n v="12900"/>
    <n v="10965"/>
  </r>
  <r>
    <x v="0"/>
    <m/>
    <s v="PORSCHE"/>
    <m/>
    <m/>
    <m/>
    <m/>
    <m/>
    <m/>
    <m/>
    <m/>
    <m/>
  </r>
  <r>
    <x v="5"/>
    <s v="A"/>
    <s v="Cayenne 4x4                                                                                           Volkswagen Touareg 4x4    (без электрики)"/>
    <s v="2010-                          2002- "/>
    <s v="@"/>
    <s v="%"/>
    <s v="3500/140"/>
    <s v="022-007"/>
    <n v="14352"/>
    <n v="12916.800000000001"/>
    <n v="17509.439999999999"/>
    <n v="14883.023999999998"/>
  </r>
  <r>
    <x v="0"/>
    <m/>
    <s v="SEAT"/>
    <m/>
    <m/>
    <m/>
    <m/>
    <m/>
    <m/>
    <m/>
    <m/>
    <m/>
  </r>
  <r>
    <x v="1"/>
    <s v="A"/>
    <s v="Leon HB (без электрики)"/>
    <s v="2012-"/>
    <s v="@"/>
    <s v="%"/>
    <s v="2000/80"/>
    <s v="022-007"/>
    <n v="9516"/>
    <n v="8564.4"/>
    <n v="11609.52"/>
    <n v="9868.0920000000006"/>
  </r>
  <r>
    <x v="2"/>
    <s v="AK41"/>
    <s v="Leon HB (без электрики)"/>
    <s v="2012-"/>
    <s v="@"/>
    <m/>
    <s v="2000/80"/>
    <s v="022-007"/>
    <n v="17459"/>
    <n v="15713.1"/>
    <n v="21299.98"/>
    <n v="18104.983"/>
  </r>
  <r>
    <x v="0"/>
    <m/>
    <s v="SKODA"/>
    <m/>
    <m/>
    <m/>
    <m/>
    <m/>
    <m/>
    <m/>
    <m/>
    <m/>
  </r>
  <r>
    <x v="44"/>
    <s v="AK41"/>
    <s v="Octavia II  HB / Wagon  (без электрики)"/>
    <s v="2004-06/2013"/>
    <s v="@"/>
    <s v="%"/>
    <s v="1700/100"/>
    <s v="022-007"/>
    <n v="16991"/>
    <n v="15291.9"/>
    <n v="20729.02"/>
    <n v="17619.667000000001"/>
  </r>
  <r>
    <x v="45"/>
    <s v="A"/>
    <s v="Octavia II HB / Wagon  (без электрики)"/>
    <s v="2004-06/2013"/>
    <s v="@"/>
    <s v="%"/>
    <s v="1700/100"/>
    <s v="022-007"/>
    <n v="8892"/>
    <n v="8002.8"/>
    <n v="10848.24"/>
    <n v="9221.003999999999"/>
  </r>
  <r>
    <x v="46"/>
    <s v="A"/>
    <s v="Octavia III Wagon                                     Octavia III Scout       (без электрики)"/>
    <s v="2013-"/>
    <s v="@"/>
    <s v="%"/>
    <s v="2000/80"/>
    <s v="022-007"/>
    <n v="8268"/>
    <n v="7441.2"/>
    <n v="10086.959999999999"/>
    <n v="8573.9159999999993"/>
  </r>
  <r>
    <x v="47"/>
    <s v="AK41"/>
    <s v="Octavia III Wagon                                     Octavia III Scout       (без электрики)"/>
    <n v="2013"/>
    <s v="@"/>
    <s v="%"/>
    <s v="2000/80"/>
    <s v="022-007"/>
    <n v="15756"/>
    <n v="14180.4"/>
    <n v="19222.32"/>
    <n v="16338.972"/>
  </r>
  <r>
    <x v="1"/>
    <s v="A"/>
    <s v="Octavia III HB  (без электрики)"/>
    <s v="2013-"/>
    <s v="@"/>
    <s v="%"/>
    <s v="2000/80"/>
    <s v="022-007"/>
    <n v="9516"/>
    <n v="8564.4"/>
    <n v="11609.52"/>
    <n v="9868.0920000000006"/>
  </r>
  <r>
    <x v="2"/>
    <s v="AK41"/>
    <s v="Octavia III HB  (без электрики)"/>
    <s v="2013-"/>
    <s v="@"/>
    <m/>
    <s v="2000/80"/>
    <s v="022-007"/>
    <n v="17459"/>
    <n v="15713.1"/>
    <n v="21299.98"/>
    <n v="18104.983"/>
  </r>
  <r>
    <x v="0"/>
    <m/>
    <s v="SSANGYONG"/>
    <m/>
    <m/>
    <m/>
    <m/>
    <m/>
    <m/>
    <m/>
    <m/>
    <m/>
  </r>
  <r>
    <x v="48"/>
    <s v="A"/>
    <s v="Kyron II 4x4 (без электрики)"/>
    <s v="2005-"/>
    <s v="@"/>
    <s v="%"/>
    <s v="2300/92"/>
    <m/>
    <n v="15444"/>
    <n v="13899.6"/>
    <n v="18841.68"/>
    <n v="16015.428"/>
  </r>
  <r>
    <x v="0"/>
    <m/>
    <s v="VOLKSWAGEN"/>
    <m/>
    <m/>
    <m/>
    <m/>
    <m/>
    <m/>
    <m/>
    <m/>
    <m/>
  </r>
  <r>
    <x v="46"/>
    <s v="A"/>
    <s v="Golf VII Variant    (без электрики)"/>
    <s v="2013-"/>
    <s v="@"/>
    <s v="%"/>
    <s v="2000/80"/>
    <s v="022-007"/>
    <n v="8268"/>
    <n v="7441.2"/>
    <n v="10086.959999999999"/>
    <n v="8573.9159999999993"/>
  </r>
  <r>
    <x v="1"/>
    <s v="A"/>
    <s v="Golf VII HB  (без электрики)"/>
    <s v="2014-               "/>
    <s v="@"/>
    <s v="%"/>
    <s v="2000/80"/>
    <s v="022-007"/>
    <n v="9516"/>
    <n v="8564.4"/>
    <n v="11609.52"/>
    <n v="9868.0920000000006"/>
  </r>
  <r>
    <x v="2"/>
    <s v="AK41"/>
    <s v="Golf VII HB  (без электрики)"/>
    <s v="2014-               "/>
    <s v="@"/>
    <m/>
    <s v="2000/80"/>
    <s v="022-007"/>
    <n v="17459"/>
    <n v="15713.1"/>
    <n v="21299.98"/>
    <n v="18104.983"/>
  </r>
  <r>
    <x v="3"/>
    <s v="A"/>
    <s v="Tiguan                                                           Audi Q3 (без электрики)"/>
    <s v="2007-                          2011- "/>
    <s v="@"/>
    <s v="%"/>
    <s v="2665/110"/>
    <s v="022-007"/>
    <n v="10127"/>
    <n v="9114.3000000000011"/>
    <n v="12354.94"/>
    <n v="10501.699000000001"/>
  </r>
  <r>
    <x v="5"/>
    <s v="A"/>
    <s v="Touareg                                                        Audi Q7  (без электрики)"/>
    <s v="2002-                          2006- "/>
    <s v="@"/>
    <s v="%"/>
    <s v="3500/140"/>
    <s v="022-007"/>
    <n v="14352"/>
    <n v="12916.800000000001"/>
    <n v="17509.439999999999"/>
    <n v="14883.023999999998"/>
  </r>
  <r>
    <x v="49"/>
    <s v="AK41"/>
    <s v="Transporter T-5 minibus, van, caravelle, multivan, syncro (без электрики)"/>
    <s v="2003-"/>
    <s v="@"/>
    <m/>
    <s v="2635/120"/>
    <s v="022-007               (с 2012г.в.)"/>
    <n v="19019"/>
    <n v="17117.100000000002"/>
    <n v="23203.18"/>
    <n v="19722.703000000001"/>
  </r>
  <r>
    <x v="0"/>
    <m/>
    <s v="Аксессуары"/>
    <m/>
    <m/>
    <m/>
    <m/>
    <m/>
    <m/>
    <m/>
    <m/>
    <m/>
  </r>
  <r>
    <x v="50"/>
    <m/>
    <s v="E-set Audi Q7"/>
    <m/>
    <s v="@"/>
    <m/>
    <m/>
    <m/>
    <n v="11388"/>
    <n v="10249.200000000001"/>
    <n v="13893.36"/>
    <n v="11809.356"/>
  </r>
  <r>
    <x v="51"/>
    <m/>
    <s v="E-set Opel/Chevrolet/Saab"/>
    <m/>
    <s v="@"/>
    <m/>
    <m/>
    <m/>
    <n v="7644"/>
    <n v="6879.6"/>
    <n v="9325.68"/>
    <n v="7926.8280000000004"/>
  </r>
  <r>
    <x v="52"/>
    <m/>
    <s v="Smart-Connect CC 7 контактный (Испания)"/>
    <m/>
    <m/>
    <m/>
    <m/>
    <m/>
    <n v="5055"/>
    <n v="4549"/>
    <n v="6320"/>
    <n v="5372"/>
  </r>
  <r>
    <x v="53"/>
    <m/>
    <s v="Адаптер с 13-ти контактной розетки на 7-ми контактную вилку (мини)"/>
    <m/>
    <m/>
    <m/>
    <m/>
    <m/>
    <n v="962"/>
    <n v="865.80000000000007"/>
    <n v="1173.6399999999999"/>
    <n v="997.59399999999982"/>
  </r>
  <r>
    <x v="54"/>
    <m/>
    <s v="Адаптер с 7-ми конт. розетки на 13-ти конт. вилку DIN"/>
    <m/>
    <m/>
    <m/>
    <m/>
    <m/>
    <n v="429"/>
    <n v="386.1"/>
    <n v="523.38"/>
    <n v="444.87299999999999"/>
  </r>
  <r>
    <x v="55"/>
    <m/>
    <s v="Адаптер с 7-ми контактной вилки на 13-ти контактную розетку"/>
    <m/>
    <m/>
    <m/>
    <m/>
    <m/>
    <n v="1430"/>
    <n v="1287"/>
    <n v="1744.6"/>
    <n v="1482.9099999999999"/>
  </r>
  <r>
    <x v="56"/>
    <m/>
    <s v="Розетка к ТСУ 7P (без эл. жгута) металлическая (аллюминий)"/>
    <m/>
    <m/>
    <m/>
    <m/>
    <m/>
    <n v="312"/>
    <n v="280.8"/>
    <n v="380.64"/>
    <n v="323.54399999999998"/>
  </r>
  <r>
    <x v="57"/>
    <m/>
    <s v="Розетка к ТСУ 7P (с эл. жгутом 1,9м) Голландия"/>
    <m/>
    <m/>
    <m/>
    <m/>
    <m/>
    <n v="598"/>
    <n v="538.20000000000005"/>
    <n v="729.56"/>
    <n v="620.12599999999998"/>
  </r>
  <r>
    <x v="58"/>
    <m/>
    <s v="Розетка к ТСУ 7P (с эл. жгутом 2,0м) с функцией отключения противотуманного фонаря на а/м Бельгия"/>
    <m/>
    <m/>
    <m/>
    <m/>
    <m/>
    <n v="754"/>
    <n v="678.6"/>
    <n v="919.88"/>
    <n v="781.89800000000002"/>
  </r>
  <r>
    <x v="59"/>
    <m/>
    <s v="Универсальный адаптер прицепа (для ТСУ)"/>
    <m/>
    <m/>
    <m/>
    <m/>
    <m/>
    <n v="2200"/>
    <s v="Без скидки"/>
    <n v="3200"/>
    <m/>
  </r>
  <r>
    <x v="0"/>
    <m/>
    <s v="Шары  "/>
    <m/>
    <m/>
    <m/>
    <m/>
    <m/>
    <m/>
    <m/>
    <m/>
    <m/>
  </r>
  <r>
    <x v="60"/>
    <m/>
    <s v="Шар тип K"/>
    <m/>
    <m/>
    <m/>
    <s v="3500/100"/>
    <m/>
    <n v="4530"/>
    <n v="4077"/>
    <n v="5670"/>
    <n v="4819"/>
  </r>
  <r>
    <x v="61"/>
    <m/>
    <s v="Шар универсальный с серьгой (под кольцо и головку)"/>
    <m/>
    <m/>
    <m/>
    <s v="3500/100"/>
    <m/>
    <n v="10296"/>
    <n v="9266.4"/>
    <n v="12561.119999999999"/>
    <n v="10676.951999999999"/>
  </r>
  <r>
    <x v="0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showCalcMbrs="0" useAutoFormatting="1" itemPrintTitles="1" createdVersion="3" indent="0" outline="1" outlineData="1" multipleFieldFilters="0">
  <location ref="A3:E397" firstHeaderRow="1" firstDataRow="2" firstDataCol="1"/>
  <pivotFields count="14">
    <pivotField axis="axisRow" showAll="0">
      <items count="393">
        <item x="17"/>
        <item x="380"/>
        <item x="384"/>
        <item x="385"/>
        <item x="345"/>
        <item x="348"/>
        <item x="166"/>
        <item x="283"/>
        <item x="75"/>
        <item x="270"/>
        <item x="342"/>
        <item x="339"/>
        <item x="218"/>
        <item x="307"/>
        <item x="292"/>
        <item x="334"/>
        <item x="336"/>
        <item x="18"/>
        <item x="267"/>
        <item x="268"/>
        <item x="269"/>
        <item x="275"/>
        <item x="274"/>
        <item x="280"/>
        <item x="277"/>
        <item x="276"/>
        <item x="271"/>
        <item x="278"/>
        <item x="272"/>
        <item x="281"/>
        <item x="279"/>
        <item x="273"/>
        <item x="293"/>
        <item x="295"/>
        <item x="290"/>
        <item x="297"/>
        <item x="296"/>
        <item x="289"/>
        <item x="298"/>
        <item x="288"/>
        <item x="287"/>
        <item n="1432-A" x="291"/>
        <item x="299"/>
        <item x="294"/>
        <item x="302"/>
        <item x="300"/>
        <item x="303"/>
        <item x="308"/>
        <item x="310"/>
        <item x="301"/>
        <item x="305"/>
        <item x="312"/>
        <item x="306"/>
        <item x="373"/>
        <item x="379"/>
        <item x="3"/>
        <item x="309"/>
        <item x="284"/>
        <item x="369"/>
        <item x="2"/>
        <item x="381"/>
        <item x="374"/>
        <item x="378"/>
        <item x="370"/>
        <item x="371"/>
        <item x="368"/>
        <item x="377"/>
        <item x="372"/>
        <item x="375"/>
        <item x="285"/>
        <item x="311"/>
        <item x="224"/>
        <item x="227"/>
        <item x="223"/>
        <item x="225"/>
        <item x="228"/>
        <item x="50"/>
        <item x="49"/>
        <item x="51"/>
        <item x="54"/>
        <item x="282"/>
        <item x="65"/>
        <item x="66"/>
        <item x="64"/>
        <item x="58"/>
        <item x="53"/>
        <item x="55"/>
        <item x="286"/>
        <item x="331"/>
        <item x="329"/>
        <item x="330"/>
        <item x="328"/>
        <item x="67"/>
        <item x="332"/>
        <item x="333"/>
        <item x="357"/>
        <item x="196"/>
        <item x="197"/>
        <item x="45"/>
        <item x="344"/>
        <item x="346"/>
        <item x="349"/>
        <item x="191"/>
        <item x="205"/>
        <item x="204"/>
        <item x="203"/>
        <item x="363"/>
        <item x="200"/>
        <item x="199"/>
        <item x="198"/>
        <item x="343"/>
        <item x="335"/>
        <item x="358"/>
        <item x="188"/>
        <item x="185"/>
        <item x="355"/>
        <item x="340"/>
        <item x="337"/>
        <item x="341"/>
        <item x="366"/>
        <item x="186"/>
        <item x="201"/>
        <item x="207"/>
        <item x="351"/>
        <item x="338"/>
        <item x="206"/>
        <item x="189"/>
        <item x="362"/>
        <item x="359"/>
        <item x="364"/>
        <item x="365"/>
        <item x="352"/>
        <item x="347"/>
        <item x="353"/>
        <item x="354"/>
        <item x="190"/>
        <item x="202"/>
        <item x="192"/>
        <item x="356"/>
        <item x="112"/>
        <item x="107"/>
        <item x="108"/>
        <item x="208"/>
        <item x="211"/>
        <item x="209"/>
        <item x="113"/>
        <item x="213"/>
        <item x="110"/>
        <item x="111"/>
        <item x="109"/>
        <item x="152"/>
        <item x="210"/>
        <item x="212"/>
        <item x="151"/>
        <item x="1"/>
        <item x="4"/>
        <item x="5"/>
        <item x="6"/>
        <item x="7"/>
        <item x="10"/>
        <item x="84"/>
        <item x="78"/>
        <item x="76"/>
        <item x="79"/>
        <item x="80"/>
        <item x="89"/>
        <item x="92"/>
        <item x="85"/>
        <item x="93"/>
        <item x="95"/>
        <item x="86"/>
        <item x="72"/>
        <item x="96"/>
        <item x="90"/>
        <item x="81"/>
        <item x="82"/>
        <item x="94"/>
        <item x="99"/>
        <item x="73"/>
        <item x="83"/>
        <item x="87"/>
        <item x="98"/>
        <item x="91"/>
        <item x="97"/>
        <item x="70"/>
        <item x="71"/>
        <item x="100"/>
        <item x="101"/>
        <item x="69"/>
        <item x="239"/>
        <item x="237"/>
        <item x="240"/>
        <item x="232"/>
        <item x="235"/>
        <item x="229"/>
        <item x="233"/>
        <item x="56"/>
        <item x="241"/>
        <item x="242"/>
        <item x="230"/>
        <item x="52"/>
        <item x="238"/>
        <item x="236"/>
        <item x="234"/>
        <item x="231"/>
        <item x="57"/>
        <item x="122"/>
        <item x="126"/>
        <item x="145"/>
        <item x="139"/>
        <item x="144"/>
        <item x="147"/>
        <item x="140"/>
        <item x="124"/>
        <item x="148"/>
        <item x="127"/>
        <item x="125"/>
        <item x="135"/>
        <item n="4244-A" x="134"/>
        <item x="136"/>
        <item x="121"/>
        <item x="130"/>
        <item x="128"/>
        <item x="137"/>
        <item x="120"/>
        <item x="141"/>
        <item x="143"/>
        <item x="129"/>
        <item x="138"/>
        <item x="123"/>
        <item x="142"/>
        <item x="255"/>
        <item x="243"/>
        <item x="258"/>
        <item x="264"/>
        <item x="253"/>
        <item x="248"/>
        <item x="244"/>
        <item x="251"/>
        <item x="259"/>
        <item x="250"/>
        <item x="262"/>
        <item x="249"/>
        <item x="252"/>
        <item x="256"/>
        <item x="257"/>
        <item x="246"/>
        <item x="265"/>
        <item x="247"/>
        <item x="245"/>
        <item x="261"/>
        <item x="254"/>
        <item x="260"/>
        <item x="266"/>
        <item x="263"/>
        <item x="88"/>
        <item x="215"/>
        <item x="220"/>
        <item x="222"/>
        <item x="216"/>
        <item x="214"/>
        <item x="217"/>
        <item x="221"/>
        <item x="14"/>
        <item x="15"/>
        <item n="4751-A" x="13"/>
        <item x="16"/>
        <item x="11"/>
        <item x="153"/>
        <item x="38"/>
        <item x="33"/>
        <item x="31"/>
        <item x="30"/>
        <item x="32"/>
        <item x="23"/>
        <item x="29"/>
        <item x="22"/>
        <item x="35"/>
        <item x="61"/>
        <item x="20"/>
        <item x="60"/>
        <item x="27"/>
        <item x="59"/>
        <item x="34"/>
        <item x="26"/>
        <item x="21"/>
        <item x="19"/>
        <item x="28"/>
        <item x="36"/>
        <item x="25"/>
        <item x="37"/>
        <item x="24"/>
        <item x="115"/>
        <item x="119"/>
        <item x="116"/>
        <item x="117"/>
        <item x="118"/>
        <item x="320"/>
        <item x="323"/>
        <item x="321"/>
        <item x="326"/>
        <item x="324"/>
        <item x="327"/>
        <item x="322"/>
        <item x="325"/>
        <item x="317"/>
        <item x="313"/>
        <item x="318"/>
        <item x="316"/>
        <item x="315"/>
        <item x="314"/>
        <item x="319"/>
        <item x="170"/>
        <item x="171"/>
        <item x="179"/>
        <item x="177"/>
        <item x="159"/>
        <item x="165"/>
        <item x="172"/>
        <item x="155"/>
        <item x="157"/>
        <item x="131"/>
        <item x="156"/>
        <item x="169"/>
        <item x="173"/>
        <item x="167"/>
        <item x="158"/>
        <item x="175"/>
        <item x="178"/>
        <item x="163"/>
        <item x="168"/>
        <item x="164"/>
        <item x="132"/>
        <item x="160"/>
        <item x="176"/>
        <item x="162"/>
        <item x="133"/>
        <item x="174"/>
        <item x="383"/>
        <item x="382"/>
        <item x="181"/>
        <item x="182"/>
        <item x="180"/>
        <item x="39"/>
        <item x="43"/>
        <item x="41"/>
        <item x="42"/>
        <item x="46"/>
        <item x="44"/>
        <item x="47"/>
        <item x="40"/>
        <item x="389"/>
        <item x="390"/>
        <item x="391"/>
        <item x="149"/>
        <item x="150"/>
        <item x="105"/>
        <item x="106"/>
        <item x="102"/>
        <item x="62"/>
        <item x="63"/>
        <item x="103"/>
        <item x="48"/>
        <item x="114"/>
        <item x="387"/>
        <item x="386"/>
        <item x="0"/>
        <item x="77"/>
        <item x="68"/>
        <item x="146"/>
        <item x="219"/>
        <item x="388"/>
        <item x="9"/>
        <item x="194"/>
        <item x="183"/>
        <item x="187"/>
        <item x="350"/>
        <item x="360"/>
        <item x="367"/>
        <item x="8"/>
        <item x="74"/>
        <item x="154"/>
        <item x="161"/>
        <item x="193"/>
        <item x="226"/>
        <item x="304"/>
        <item x="361"/>
        <item x="376"/>
        <item x="12"/>
        <item x="104"/>
        <item x="184"/>
        <item x="19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3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Оптовая цена" fld="10" subtotal="average" baseField="0" baseItem="0"/>
    <dataField name="Минимальная оптовая цена" fld="11" subtotal="average" baseField="0" baseItem="0"/>
    <dataField name="Розничная цена" fld="12" subtotal="max" baseField="0" baseItem="0"/>
    <dataField name="Минимальная розничная цена" fld="13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E49" firstHeaderRow="0" firstDataRow="1" firstDataCol="1"/>
  <pivotFields count="13">
    <pivotField axis="axisRow" showAll="0">
      <items count="46">
        <item x="25"/>
        <item x="24"/>
        <item x="26"/>
        <item x="28"/>
        <item x="27"/>
        <item x="30"/>
        <item x="29"/>
        <item x="32"/>
        <item x="33"/>
        <item x="34"/>
        <item x="4"/>
        <item x="5"/>
        <item x="36"/>
        <item x="1"/>
        <item x="38"/>
        <item x="37"/>
        <item x="39"/>
        <item x="3"/>
        <item x="2"/>
        <item x="40"/>
        <item x="35"/>
        <item x="31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1"/>
        <item x="20"/>
        <item x="22"/>
        <item x="23"/>
        <item x="0"/>
        <item x="44"/>
        <item x="43"/>
        <item x="41"/>
        <item x="42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showAll="0"/>
    <pivotField dataField="1" showAll="0"/>
    <pivotField dataField="1" showAll="0"/>
    <pivotField dataField="1" showAll="0"/>
  </pivotFields>
  <rowFields count="1">
    <field x="0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Оптовая цена" fld="9" subtotal="average" baseField="0" baseItem="0"/>
    <dataField name=" Минимальная оптовая цена" fld="10" subtotal="average" baseField="0" baseItem="0"/>
    <dataField name="Розничная цена" fld="11" subtotal="average" baseField="0" baseItem="0"/>
    <dataField name=" Минимальная розничная цена" fld="12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E66" firstHeaderRow="0" firstDataRow="1" firstDataCol="1"/>
  <pivotFields count="12">
    <pivotField axis="axisRow" showAll="0">
      <items count="63">
        <item x="60"/>
        <item x="57"/>
        <item x="39"/>
        <item x="58"/>
        <item x="52"/>
        <item x="53"/>
        <item x="55"/>
        <item x="54"/>
        <item x="61"/>
        <item x="59"/>
        <item x="56"/>
        <item x="42"/>
        <item x="19"/>
        <item x="5"/>
        <item x="51"/>
        <item x="24"/>
        <item x="25"/>
        <item x="13"/>
        <item x="48"/>
        <item x="45"/>
        <item x="3"/>
        <item x="18"/>
        <item x="17"/>
        <item x="1"/>
        <item x="43"/>
        <item x="32"/>
        <item x="46"/>
        <item x="14"/>
        <item x="30"/>
        <item x="23"/>
        <item x="26"/>
        <item x="50"/>
        <item x="31"/>
        <item x="40"/>
        <item x="36"/>
        <item x="12"/>
        <item x="7"/>
        <item x="28"/>
        <item x="29"/>
        <item x="38"/>
        <item x="21"/>
        <item x="9"/>
        <item x="20"/>
        <item x="11"/>
        <item x="37"/>
        <item x="16"/>
        <item x="35"/>
        <item x="22"/>
        <item x="44"/>
        <item x="49"/>
        <item x="4"/>
        <item x="8"/>
        <item x="6"/>
        <item x="2"/>
        <item x="34"/>
        <item x="10"/>
        <item x="15"/>
        <item x="41"/>
        <item x="33"/>
        <item x="47"/>
        <item x="27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Оптовая" fld="8" subtotal="average" baseField="0" baseItem="0"/>
    <dataField name="Минимальная оптовая цена " fld="9" subtotal="average" baseField="0" baseItem="0"/>
    <dataField name=" Рекомендованная розничная цена" fld="10" subtotal="average" baseField="0" baseItem="0"/>
    <dataField name=" Минимальная розничная цена" fld="11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drawing" Target="../drawings/drawing2.xml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outlinePr summaryRight="0"/>
  </sheetPr>
  <dimension ref="A1:HT693"/>
  <sheetViews>
    <sheetView showGridLines="0" tabSelected="1" zoomScale="60" zoomScaleNormal="60" zoomScaleSheetLayoutView="75" workbookViewId="0">
      <pane ySplit="5" topLeftCell="A6" activePane="bottomLeft" state="frozen"/>
      <selection pane="bottomLeft" activeCell="M162" sqref="M162"/>
    </sheetView>
  </sheetViews>
  <sheetFormatPr defaultColWidth="8.85546875" defaultRowHeight="15"/>
  <cols>
    <col min="1" max="1" width="1.5703125" style="144" customWidth="1"/>
    <col min="2" max="2" width="14.28515625" style="48" customWidth="1"/>
    <col min="3" max="3" width="12.5703125" style="48" customWidth="1"/>
    <col min="4" max="4" width="49.85546875" style="251" customWidth="1"/>
    <col min="5" max="5" width="22.140625" style="7" customWidth="1"/>
    <col min="6" max="6" width="15.85546875" style="49" customWidth="1"/>
    <col min="7" max="7" width="11.7109375" style="7" customWidth="1"/>
    <col min="8" max="8" width="20" style="198" customWidth="1"/>
    <col min="9" max="9" width="18.7109375" style="49" customWidth="1"/>
    <col min="10" max="10" width="21" style="198" customWidth="1"/>
    <col min="11" max="11" width="19.5703125" style="49" customWidth="1"/>
    <col min="12" max="12" width="17.7109375" style="49" customWidth="1"/>
    <col min="13" max="13" width="19.5703125" style="219" customWidth="1"/>
    <col min="14" max="39" width="8.85546875" style="14" customWidth="1"/>
    <col min="40" max="16384" width="8.85546875" style="2"/>
  </cols>
  <sheetData>
    <row r="1" spans="1:223" s="14" customFormat="1" ht="44.25" customHeight="1">
      <c r="A1" s="21"/>
      <c r="B1" s="845" t="s">
        <v>822</v>
      </c>
      <c r="C1" s="845"/>
      <c r="D1" s="845"/>
      <c r="E1" s="845"/>
      <c r="F1" s="286"/>
      <c r="G1" s="287"/>
      <c r="H1" s="288"/>
      <c r="I1" s="286"/>
      <c r="J1" s="288"/>
      <c r="K1" s="286"/>
      <c r="L1" s="286"/>
      <c r="M1" s="290"/>
    </row>
    <row r="2" spans="1:223" s="14" customFormat="1" ht="43.5" customHeight="1">
      <c r="A2" s="21"/>
      <c r="B2" s="845"/>
      <c r="C2" s="845"/>
      <c r="D2" s="845"/>
      <c r="E2" s="845"/>
      <c r="F2" s="60"/>
      <c r="G2" s="287"/>
      <c r="H2" s="291"/>
      <c r="I2" s="60"/>
      <c r="J2" s="58"/>
      <c r="K2" s="60"/>
      <c r="L2" s="60"/>
      <c r="M2" s="221"/>
    </row>
    <row r="3" spans="1:223" s="14" customFormat="1" ht="22.5" customHeight="1" thickBot="1">
      <c r="A3" s="21"/>
      <c r="B3" s="844" t="s">
        <v>1471</v>
      </c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</row>
    <row r="4" spans="1:223" s="47" customFormat="1" ht="41.25" customHeight="1" thickBot="1">
      <c r="A4" s="404"/>
      <c r="B4" s="405"/>
      <c r="C4" s="405"/>
      <c r="D4" s="406"/>
      <c r="E4" s="407" t="s">
        <v>353</v>
      </c>
      <c r="F4" s="408"/>
      <c r="G4" s="405"/>
      <c r="H4" s="93" t="s">
        <v>145</v>
      </c>
      <c r="I4" s="93"/>
      <c r="J4" s="93"/>
      <c r="K4" s="409" t="s">
        <v>400</v>
      </c>
      <c r="L4" s="846" t="s">
        <v>112</v>
      </c>
      <c r="M4" s="847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</row>
    <row r="5" spans="1:223" s="47" customFormat="1" ht="60" customHeight="1" thickBot="1">
      <c r="A5" s="404"/>
      <c r="B5" s="405" t="s">
        <v>398</v>
      </c>
      <c r="C5" s="405" t="s">
        <v>91</v>
      </c>
      <c r="D5" s="410" t="s">
        <v>354</v>
      </c>
      <c r="E5" s="405" t="s">
        <v>97</v>
      </c>
      <c r="F5" s="411" t="s">
        <v>111</v>
      </c>
      <c r="G5" s="405" t="s">
        <v>146</v>
      </c>
      <c r="H5" s="412" t="s">
        <v>401</v>
      </c>
      <c r="I5" s="412" t="s">
        <v>824</v>
      </c>
      <c r="J5" s="412" t="s">
        <v>399</v>
      </c>
      <c r="K5" s="409" t="s">
        <v>402</v>
      </c>
      <c r="L5" s="413" t="s">
        <v>652</v>
      </c>
      <c r="M5" s="414" t="s">
        <v>113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</row>
    <row r="6" spans="1:223" s="52" customFormat="1" ht="24.75" customHeight="1">
      <c r="A6" s="415"/>
      <c r="B6" s="416"/>
      <c r="C6" s="416"/>
      <c r="D6" s="417" t="s">
        <v>253</v>
      </c>
      <c r="E6" s="418"/>
      <c r="F6" s="159"/>
      <c r="G6" s="418"/>
      <c r="H6" s="173"/>
      <c r="I6" s="159"/>
      <c r="J6" s="173"/>
      <c r="K6" s="163"/>
      <c r="L6" s="419"/>
      <c r="M6" s="420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</row>
    <row r="7" spans="1:223" ht="68.25" customHeight="1">
      <c r="A7" s="421"/>
      <c r="B7" s="463" t="s">
        <v>826</v>
      </c>
      <c r="C7" s="464" t="s">
        <v>96</v>
      </c>
      <c r="D7" s="465" t="s">
        <v>23</v>
      </c>
      <c r="E7" s="466" t="s">
        <v>36</v>
      </c>
      <c r="F7" s="467"/>
      <c r="G7" s="468" t="s">
        <v>168</v>
      </c>
      <c r="H7" s="469"/>
      <c r="I7" s="470" t="s">
        <v>148</v>
      </c>
      <c r="J7" s="470"/>
      <c r="K7" s="471"/>
      <c r="L7" s="892">
        <f>6540*1.02</f>
        <v>6670.8</v>
      </c>
      <c r="M7" s="472">
        <f t="shared" ref="M7:M17" si="0">L7*1.25</f>
        <v>8338.5</v>
      </c>
      <c r="AJ7" s="2"/>
      <c r="AK7" s="2"/>
      <c r="AL7" s="2"/>
      <c r="AM7" s="2"/>
    </row>
    <row r="8" spans="1:223" ht="36" customHeight="1">
      <c r="A8" s="421"/>
      <c r="B8" s="463" t="s">
        <v>1139</v>
      </c>
      <c r="C8" s="464" t="s">
        <v>96</v>
      </c>
      <c r="D8" s="465" t="s">
        <v>1460</v>
      </c>
      <c r="E8" s="466" t="s">
        <v>1459</v>
      </c>
      <c r="F8" s="469"/>
      <c r="G8" s="473" t="s">
        <v>250</v>
      </c>
      <c r="H8" s="474" t="s">
        <v>145</v>
      </c>
      <c r="I8" s="475" t="s">
        <v>163</v>
      </c>
      <c r="J8" s="476" t="s">
        <v>1421</v>
      </c>
      <c r="K8" s="477"/>
      <c r="L8" s="892">
        <f>6140*1.02</f>
        <v>6262.8</v>
      </c>
      <c r="M8" s="472">
        <f t="shared" si="0"/>
        <v>7828.5</v>
      </c>
      <c r="AJ8" s="2"/>
      <c r="AK8" s="2"/>
      <c r="AL8" s="2"/>
      <c r="AM8" s="2"/>
    </row>
    <row r="9" spans="1:223" s="4" customFormat="1" ht="32.25" customHeight="1">
      <c r="A9" s="421"/>
      <c r="B9" s="463" t="s">
        <v>827</v>
      </c>
      <c r="C9" s="464" t="s">
        <v>96</v>
      </c>
      <c r="D9" s="465" t="s">
        <v>1461</v>
      </c>
      <c r="E9" s="466" t="s">
        <v>1462</v>
      </c>
      <c r="F9" s="467"/>
      <c r="G9" s="478" t="s">
        <v>167</v>
      </c>
      <c r="H9" s="479" t="s">
        <v>145</v>
      </c>
      <c r="I9" s="471" t="s">
        <v>147</v>
      </c>
      <c r="J9" s="471"/>
      <c r="K9" s="471"/>
      <c r="L9" s="892">
        <f>5310*1.02</f>
        <v>5416.2</v>
      </c>
      <c r="M9" s="472">
        <f t="shared" si="0"/>
        <v>6770.25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</row>
    <row r="10" spans="1:223" s="4" customFormat="1" ht="24" customHeight="1">
      <c r="A10" s="421"/>
      <c r="B10" s="463" t="s">
        <v>828</v>
      </c>
      <c r="C10" s="464" t="s">
        <v>96</v>
      </c>
      <c r="D10" s="465" t="s">
        <v>252</v>
      </c>
      <c r="E10" s="466" t="s">
        <v>139</v>
      </c>
      <c r="F10" s="467"/>
      <c r="G10" s="480" t="s">
        <v>233</v>
      </c>
      <c r="H10" s="469"/>
      <c r="I10" s="481" t="s">
        <v>151</v>
      </c>
      <c r="J10" s="481"/>
      <c r="K10" s="482"/>
      <c r="L10" s="892">
        <v>6580</v>
      </c>
      <c r="M10" s="472">
        <f t="shared" si="0"/>
        <v>8225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</row>
    <row r="11" spans="1:223" s="4" customFormat="1" ht="30" customHeight="1">
      <c r="A11" s="421"/>
      <c r="B11" s="463" t="s">
        <v>829</v>
      </c>
      <c r="C11" s="464" t="s">
        <v>96</v>
      </c>
      <c r="D11" s="465" t="s">
        <v>1472</v>
      </c>
      <c r="E11" s="466" t="s">
        <v>140</v>
      </c>
      <c r="F11" s="467"/>
      <c r="G11" s="480" t="s">
        <v>170</v>
      </c>
      <c r="H11" s="469"/>
      <c r="I11" s="481" t="s">
        <v>151</v>
      </c>
      <c r="J11" s="481" t="s">
        <v>481</v>
      </c>
      <c r="K11" s="482"/>
      <c r="L11" s="892">
        <f>6250*1.02</f>
        <v>6375</v>
      </c>
      <c r="M11" s="472">
        <f t="shared" si="0"/>
        <v>7968.75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</row>
    <row r="12" spans="1:223" s="4" customFormat="1" ht="29.25" customHeight="1">
      <c r="A12" s="421"/>
      <c r="B12" s="463" t="s">
        <v>830</v>
      </c>
      <c r="C12" s="464" t="s">
        <v>96</v>
      </c>
      <c r="D12" s="465" t="s">
        <v>1473</v>
      </c>
      <c r="E12" s="466" t="s">
        <v>486</v>
      </c>
      <c r="F12" s="467"/>
      <c r="G12" s="480" t="s">
        <v>196</v>
      </c>
      <c r="H12" s="474" t="s">
        <v>145</v>
      </c>
      <c r="I12" s="481" t="s">
        <v>151</v>
      </c>
      <c r="J12" s="481" t="s">
        <v>479</v>
      </c>
      <c r="K12" s="482"/>
      <c r="L12" s="892">
        <f>6470*1.2</f>
        <v>7764</v>
      </c>
      <c r="M12" s="472">
        <f t="shared" si="0"/>
        <v>9705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</row>
    <row r="13" spans="1:223" s="4" customFormat="1" ht="27" customHeight="1">
      <c r="A13" s="421"/>
      <c r="B13" s="463" t="s">
        <v>831</v>
      </c>
      <c r="C13" s="464" t="s">
        <v>96</v>
      </c>
      <c r="D13" s="465" t="s">
        <v>1474</v>
      </c>
      <c r="E13" s="466" t="s">
        <v>1301</v>
      </c>
      <c r="F13" s="483"/>
      <c r="G13" s="480" t="s">
        <v>580</v>
      </c>
      <c r="H13" s="474" t="s">
        <v>145</v>
      </c>
      <c r="I13" s="481" t="s">
        <v>151</v>
      </c>
      <c r="J13" s="481" t="s">
        <v>481</v>
      </c>
      <c r="K13" s="482"/>
      <c r="L13" s="892">
        <f>6470*1.02</f>
        <v>6599.4000000000005</v>
      </c>
      <c r="M13" s="472">
        <f t="shared" si="0"/>
        <v>8249.25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</row>
    <row r="14" spans="1:223" s="4" customFormat="1" ht="26.25" customHeight="1">
      <c r="A14" s="421"/>
      <c r="B14" s="484" t="s">
        <v>1393</v>
      </c>
      <c r="C14" s="464" t="s">
        <v>547</v>
      </c>
      <c r="D14" s="485" t="s">
        <v>1475</v>
      </c>
      <c r="E14" s="486" t="s">
        <v>1229</v>
      </c>
      <c r="F14" s="487" t="s">
        <v>1351</v>
      </c>
      <c r="G14" s="480" t="s">
        <v>1394</v>
      </c>
      <c r="H14" s="474" t="s">
        <v>145</v>
      </c>
      <c r="I14" s="481" t="s">
        <v>48</v>
      </c>
      <c r="J14" s="481" t="s">
        <v>481</v>
      </c>
      <c r="K14" s="488"/>
      <c r="L14" s="892">
        <f>19260*1.02</f>
        <v>19645.2</v>
      </c>
      <c r="M14" s="472">
        <f t="shared" si="0"/>
        <v>24556.5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</row>
    <row r="15" spans="1:223" s="4" customFormat="1" ht="26.25" customHeight="1">
      <c r="A15" s="421"/>
      <c r="B15" s="850" t="s">
        <v>1369</v>
      </c>
      <c r="C15" s="850" t="s">
        <v>96</v>
      </c>
      <c r="D15" s="852" t="s">
        <v>1476</v>
      </c>
      <c r="E15" s="854" t="s">
        <v>1463</v>
      </c>
      <c r="F15" s="838" t="s">
        <v>1351</v>
      </c>
      <c r="G15" s="836" t="s">
        <v>1371</v>
      </c>
      <c r="H15" s="474" t="s">
        <v>145</v>
      </c>
      <c r="I15" s="841" t="s">
        <v>48</v>
      </c>
      <c r="J15" s="841" t="s">
        <v>481</v>
      </c>
      <c r="K15" s="842"/>
      <c r="L15" s="893">
        <f>1.02*6900</f>
        <v>7038</v>
      </c>
      <c r="M15" s="832">
        <f t="shared" si="0"/>
        <v>8797.5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</row>
    <row r="16" spans="1:223" s="4" customFormat="1" ht="17.25" customHeight="1">
      <c r="A16" s="421"/>
      <c r="B16" s="840"/>
      <c r="C16" s="840"/>
      <c r="D16" s="857"/>
      <c r="E16" s="840"/>
      <c r="F16" s="839"/>
      <c r="G16" s="840"/>
      <c r="H16" s="481" t="s">
        <v>1372</v>
      </c>
      <c r="I16" s="839"/>
      <c r="J16" s="839"/>
      <c r="K16" s="843"/>
      <c r="L16" s="894"/>
      <c r="M16" s="833">
        <f t="shared" si="0"/>
        <v>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</row>
    <row r="17" spans="1:223" s="4" customFormat="1" ht="47.25" customHeight="1">
      <c r="A17" s="421"/>
      <c r="B17" s="489" t="s">
        <v>1300</v>
      </c>
      <c r="C17" s="490" t="s">
        <v>471</v>
      </c>
      <c r="D17" s="491" t="s">
        <v>1477</v>
      </c>
      <c r="E17" s="492" t="s">
        <v>1463</v>
      </c>
      <c r="F17" s="493" t="s">
        <v>1213</v>
      </c>
      <c r="G17" s="494" t="s">
        <v>1303</v>
      </c>
      <c r="H17" s="495" t="s">
        <v>145</v>
      </c>
      <c r="I17" s="496" t="s">
        <v>48</v>
      </c>
      <c r="J17" s="496" t="s">
        <v>481</v>
      </c>
      <c r="K17" s="497"/>
      <c r="L17" s="892">
        <v>15100</v>
      </c>
      <c r="M17" s="498">
        <f t="shared" si="0"/>
        <v>18875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</row>
    <row r="18" spans="1:223" s="4" customFormat="1" ht="20.25" customHeight="1">
      <c r="A18" s="421"/>
      <c r="B18" s="499"/>
      <c r="C18" s="499"/>
      <c r="D18" s="500" t="s">
        <v>105</v>
      </c>
      <c r="E18" s="501"/>
      <c r="F18" s="502"/>
      <c r="G18" s="503"/>
      <c r="H18" s="502"/>
      <c r="I18" s="504"/>
      <c r="J18" s="505"/>
      <c r="K18" s="506"/>
      <c r="L18" s="895"/>
      <c r="M18" s="506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</row>
    <row r="19" spans="1:223" s="4" customFormat="1" ht="23.25">
      <c r="A19" s="421"/>
      <c r="B19" s="463" t="s">
        <v>832</v>
      </c>
      <c r="C19" s="464" t="s">
        <v>96</v>
      </c>
      <c r="D19" s="465" t="s">
        <v>1478</v>
      </c>
      <c r="E19" s="466" t="s">
        <v>27</v>
      </c>
      <c r="F19" s="467"/>
      <c r="G19" s="480" t="s">
        <v>184</v>
      </c>
      <c r="H19" s="479"/>
      <c r="I19" s="481" t="s">
        <v>429</v>
      </c>
      <c r="J19" s="507" t="s">
        <v>481</v>
      </c>
      <c r="K19" s="482"/>
      <c r="L19" s="892">
        <f>1.02*5350</f>
        <v>5457</v>
      </c>
      <c r="M19" s="508">
        <f t="shared" ref="M19:M24" si="1">L19*1.25</f>
        <v>6821.25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</row>
    <row r="20" spans="1:223" s="4" customFormat="1" ht="27" customHeight="1">
      <c r="A20" s="421"/>
      <c r="B20" s="463" t="s">
        <v>1406</v>
      </c>
      <c r="C20" s="464" t="s">
        <v>96</v>
      </c>
      <c r="D20" s="465" t="s">
        <v>1479</v>
      </c>
      <c r="E20" s="466" t="s">
        <v>368</v>
      </c>
      <c r="F20" s="487" t="s">
        <v>1351</v>
      </c>
      <c r="G20" s="480" t="s">
        <v>1407</v>
      </c>
      <c r="H20" s="474" t="s">
        <v>145</v>
      </c>
      <c r="I20" s="481" t="s">
        <v>690</v>
      </c>
      <c r="J20" s="481" t="s">
        <v>481</v>
      </c>
      <c r="K20" s="482"/>
      <c r="L20" s="892">
        <f>1.02*5800</f>
        <v>5916</v>
      </c>
      <c r="M20" s="508">
        <f t="shared" si="1"/>
        <v>7395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</row>
    <row r="21" spans="1:223" s="4" customFormat="1" ht="21" customHeight="1">
      <c r="A21" s="421"/>
      <c r="B21" s="463" t="s">
        <v>833</v>
      </c>
      <c r="C21" s="464" t="s">
        <v>96</v>
      </c>
      <c r="D21" s="465" t="s">
        <v>1480</v>
      </c>
      <c r="E21" s="466" t="s">
        <v>442</v>
      </c>
      <c r="F21" s="467"/>
      <c r="G21" s="480" t="s">
        <v>206</v>
      </c>
      <c r="H21" s="474" t="s">
        <v>145</v>
      </c>
      <c r="I21" s="481" t="s">
        <v>163</v>
      </c>
      <c r="J21" s="481" t="s">
        <v>481</v>
      </c>
      <c r="K21" s="482"/>
      <c r="L21" s="892">
        <f>1.02*7920</f>
        <v>8078.4000000000005</v>
      </c>
      <c r="M21" s="508">
        <f t="shared" si="1"/>
        <v>10098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</row>
    <row r="22" spans="1:223" s="4" customFormat="1" ht="27.75" customHeight="1">
      <c r="A22" s="421"/>
      <c r="B22" s="509" t="s">
        <v>834</v>
      </c>
      <c r="C22" s="464" t="s">
        <v>96</v>
      </c>
      <c r="D22" s="510" t="s">
        <v>1481</v>
      </c>
      <c r="E22" s="511" t="s">
        <v>381</v>
      </c>
      <c r="F22" s="512"/>
      <c r="G22" s="513" t="s">
        <v>382</v>
      </c>
      <c r="H22" s="512"/>
      <c r="I22" s="471" t="s">
        <v>151</v>
      </c>
      <c r="J22" s="481" t="s">
        <v>481</v>
      </c>
      <c r="K22" s="514"/>
      <c r="L22" s="892">
        <f>1.02*8760</f>
        <v>8935.2000000000007</v>
      </c>
      <c r="M22" s="508">
        <f t="shared" si="1"/>
        <v>11169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</row>
    <row r="23" spans="1:223" s="4" customFormat="1" ht="32.25" customHeight="1">
      <c r="A23" s="421"/>
      <c r="B23" s="463" t="s">
        <v>835</v>
      </c>
      <c r="C23" s="464" t="s">
        <v>96</v>
      </c>
      <c r="D23" s="510" t="s">
        <v>1482</v>
      </c>
      <c r="E23" s="466" t="s">
        <v>1410</v>
      </c>
      <c r="F23" s="467"/>
      <c r="G23" s="480" t="s">
        <v>218</v>
      </c>
      <c r="H23" s="467"/>
      <c r="I23" s="481" t="s">
        <v>163</v>
      </c>
      <c r="J23" s="481" t="s">
        <v>481</v>
      </c>
      <c r="K23" s="482"/>
      <c r="L23" s="892">
        <f>1.02*8190</f>
        <v>8353.7999999999993</v>
      </c>
      <c r="M23" s="508">
        <f t="shared" si="1"/>
        <v>10442.25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</row>
    <row r="24" spans="1:223" s="4" customFormat="1" ht="27" customHeight="1">
      <c r="A24" s="421"/>
      <c r="B24" s="463" t="s">
        <v>836</v>
      </c>
      <c r="C24" s="464" t="s">
        <v>96</v>
      </c>
      <c r="D24" s="465" t="s">
        <v>1483</v>
      </c>
      <c r="E24" s="466" t="s">
        <v>140</v>
      </c>
      <c r="F24" s="467"/>
      <c r="G24" s="480" t="s">
        <v>385</v>
      </c>
      <c r="H24" s="474"/>
      <c r="I24" s="481" t="s">
        <v>163</v>
      </c>
      <c r="J24" s="481" t="s">
        <v>481</v>
      </c>
      <c r="K24" s="482"/>
      <c r="L24" s="892">
        <f>1.02*8190</f>
        <v>8353.7999999999993</v>
      </c>
      <c r="M24" s="508">
        <f t="shared" si="1"/>
        <v>10442.25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</row>
    <row r="25" spans="1:223" s="4" customFormat="1" ht="22.5" customHeight="1">
      <c r="A25" s="421"/>
      <c r="B25" s="499"/>
      <c r="C25" s="515"/>
      <c r="D25" s="516" t="s">
        <v>1201</v>
      </c>
      <c r="E25" s="501"/>
      <c r="F25" s="517"/>
      <c r="G25" s="518"/>
      <c r="H25" s="517"/>
      <c r="I25" s="519"/>
      <c r="J25" s="506"/>
      <c r="K25" s="506"/>
      <c r="L25" s="895"/>
      <c r="M25" s="506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</row>
    <row r="26" spans="1:223" s="4" customFormat="1" ht="22.5" customHeight="1">
      <c r="A26" s="421"/>
      <c r="B26" s="463">
        <v>9010</v>
      </c>
      <c r="C26" s="464" t="s">
        <v>96</v>
      </c>
      <c r="D26" s="465" t="s">
        <v>1484</v>
      </c>
      <c r="E26" s="466" t="s">
        <v>648</v>
      </c>
      <c r="F26" s="483"/>
      <c r="G26" s="480"/>
      <c r="H26" s="479" t="s">
        <v>145</v>
      </c>
      <c r="I26" s="481" t="s">
        <v>654</v>
      </c>
      <c r="J26" s="481"/>
      <c r="K26" s="482"/>
      <c r="L26" s="892">
        <f>1.02*5650</f>
        <v>5763</v>
      </c>
      <c r="M26" s="508">
        <f>L26*1.25</f>
        <v>7203.75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</row>
    <row r="27" spans="1:223" s="52" customFormat="1" ht="19.5" customHeight="1">
      <c r="A27" s="421"/>
      <c r="B27" s="499"/>
      <c r="C27" s="515"/>
      <c r="D27" s="500" t="s">
        <v>254</v>
      </c>
      <c r="E27" s="501"/>
      <c r="F27" s="517"/>
      <c r="G27" s="518"/>
      <c r="H27" s="517"/>
      <c r="I27" s="519"/>
      <c r="J27" s="506"/>
      <c r="K27" s="506"/>
      <c r="L27" s="895"/>
      <c r="M27" s="506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</row>
    <row r="28" spans="1:223" ht="20.25" customHeight="1">
      <c r="A28" s="421"/>
      <c r="B28" s="484" t="s">
        <v>632</v>
      </c>
      <c r="C28" s="464" t="s">
        <v>144</v>
      </c>
      <c r="D28" s="485" t="s">
        <v>1485</v>
      </c>
      <c r="E28" s="486" t="s">
        <v>633</v>
      </c>
      <c r="F28" s="520"/>
      <c r="G28" s="480"/>
      <c r="H28" s="474"/>
      <c r="I28" s="475" t="s">
        <v>155</v>
      </c>
      <c r="J28" s="521"/>
      <c r="K28" s="522"/>
      <c r="L28" s="892">
        <f>1.02*7200</f>
        <v>7344</v>
      </c>
      <c r="M28" s="508">
        <v>9000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</row>
    <row r="29" spans="1:223" ht="24" customHeight="1">
      <c r="A29" s="421"/>
      <c r="B29" s="484" t="s">
        <v>838</v>
      </c>
      <c r="C29" s="464" t="s">
        <v>96</v>
      </c>
      <c r="D29" s="523" t="s">
        <v>1486</v>
      </c>
      <c r="E29" s="466" t="s">
        <v>435</v>
      </c>
      <c r="F29" s="483"/>
      <c r="G29" s="480" t="s">
        <v>543</v>
      </c>
      <c r="H29" s="474" t="s">
        <v>145</v>
      </c>
      <c r="I29" s="481" t="s">
        <v>544</v>
      </c>
      <c r="J29" s="507" t="s">
        <v>570</v>
      </c>
      <c r="K29" s="481"/>
      <c r="L29" s="892">
        <f>1.02*4680</f>
        <v>4773.6000000000004</v>
      </c>
      <c r="M29" s="508">
        <f t="shared" ref="M29:M47" si="2">L29*1.25</f>
        <v>5967</v>
      </c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</row>
    <row r="30" spans="1:223" s="10" customFormat="1" ht="30" customHeight="1">
      <c r="A30" s="421"/>
      <c r="B30" s="489" t="s">
        <v>837</v>
      </c>
      <c r="C30" s="490" t="s">
        <v>96</v>
      </c>
      <c r="D30" s="524" t="s">
        <v>500</v>
      </c>
      <c r="E30" s="492" t="s">
        <v>492</v>
      </c>
      <c r="F30" s="525"/>
      <c r="G30" s="494" t="s">
        <v>204</v>
      </c>
      <c r="H30" s="525"/>
      <c r="I30" s="496" t="s">
        <v>155</v>
      </c>
      <c r="J30" s="496"/>
      <c r="K30" s="496"/>
      <c r="L30" s="892">
        <v>4500</v>
      </c>
      <c r="M30" s="498">
        <f t="shared" si="2"/>
        <v>5625</v>
      </c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</row>
    <row r="31" spans="1:223" s="4" customFormat="1" ht="23.25">
      <c r="A31" s="421"/>
      <c r="B31" s="484" t="s">
        <v>839</v>
      </c>
      <c r="C31" s="464" t="s">
        <v>96</v>
      </c>
      <c r="D31" s="523" t="s">
        <v>1487</v>
      </c>
      <c r="E31" s="466" t="s">
        <v>521</v>
      </c>
      <c r="F31" s="467"/>
      <c r="G31" s="480" t="s">
        <v>513</v>
      </c>
      <c r="H31" s="526"/>
      <c r="I31" s="481" t="s">
        <v>149</v>
      </c>
      <c r="J31" s="507" t="s">
        <v>481</v>
      </c>
      <c r="K31" s="481"/>
      <c r="L31" s="892">
        <f>1.02*4850</f>
        <v>4947</v>
      </c>
      <c r="M31" s="508">
        <f t="shared" si="2"/>
        <v>6183.75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</row>
    <row r="32" spans="1:223" s="4" customFormat="1" ht="22.5" customHeight="1">
      <c r="A32" s="421"/>
      <c r="B32" s="484" t="s">
        <v>840</v>
      </c>
      <c r="C32" s="464" t="s">
        <v>96</v>
      </c>
      <c r="D32" s="523" t="s">
        <v>499</v>
      </c>
      <c r="E32" s="486" t="s">
        <v>486</v>
      </c>
      <c r="F32" s="467"/>
      <c r="G32" s="480" t="s">
        <v>172</v>
      </c>
      <c r="H32" s="469"/>
      <c r="I32" s="475" t="s">
        <v>149</v>
      </c>
      <c r="J32" s="475"/>
      <c r="K32" s="481"/>
      <c r="L32" s="892">
        <f>1.02*4850</f>
        <v>4947</v>
      </c>
      <c r="M32" s="508">
        <f t="shared" si="2"/>
        <v>6183.75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</row>
    <row r="33" spans="1:223" s="4" customFormat="1" ht="23.25">
      <c r="A33" s="421"/>
      <c r="B33" s="463" t="s">
        <v>841</v>
      </c>
      <c r="C33" s="464" t="s">
        <v>96</v>
      </c>
      <c r="D33" s="527" t="s">
        <v>255</v>
      </c>
      <c r="E33" s="466" t="s">
        <v>646</v>
      </c>
      <c r="F33" s="467"/>
      <c r="G33" s="468" t="s">
        <v>171</v>
      </c>
      <c r="H33" s="479" t="s">
        <v>145</v>
      </c>
      <c r="I33" s="528" t="s">
        <v>151</v>
      </c>
      <c r="J33" s="528"/>
      <c r="K33" s="528"/>
      <c r="L33" s="892">
        <f>1.02*7160</f>
        <v>7303.2</v>
      </c>
      <c r="M33" s="508">
        <f t="shared" si="2"/>
        <v>9129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</row>
    <row r="34" spans="1:223" s="4" customFormat="1" ht="27" customHeight="1">
      <c r="A34" s="421"/>
      <c r="B34" s="463" t="s">
        <v>842</v>
      </c>
      <c r="C34" s="464" t="s">
        <v>96</v>
      </c>
      <c r="D34" s="527" t="s">
        <v>1488</v>
      </c>
      <c r="E34" s="466" t="s">
        <v>549</v>
      </c>
      <c r="F34" s="483"/>
      <c r="G34" s="468" t="s">
        <v>569</v>
      </c>
      <c r="H34" s="479"/>
      <c r="I34" s="528" t="s">
        <v>161</v>
      </c>
      <c r="J34" s="528"/>
      <c r="K34" s="528"/>
      <c r="L34" s="892">
        <f>1.02*7220</f>
        <v>7364.4000000000005</v>
      </c>
      <c r="M34" s="508">
        <f t="shared" si="2"/>
        <v>9205.5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</row>
    <row r="35" spans="1:223" s="4" customFormat="1" ht="23.25">
      <c r="A35" s="421"/>
      <c r="B35" s="484" t="s">
        <v>843</v>
      </c>
      <c r="C35" s="464" t="s">
        <v>96</v>
      </c>
      <c r="D35" s="485" t="s">
        <v>1489</v>
      </c>
      <c r="E35" s="486" t="s">
        <v>549</v>
      </c>
      <c r="F35" s="483"/>
      <c r="G35" s="480" t="s">
        <v>546</v>
      </c>
      <c r="H35" s="479"/>
      <c r="I35" s="481" t="s">
        <v>152</v>
      </c>
      <c r="J35" s="507" t="s">
        <v>481</v>
      </c>
      <c r="K35" s="481"/>
      <c r="L35" s="892">
        <f>1.02*4970</f>
        <v>5069.3999999999996</v>
      </c>
      <c r="M35" s="508">
        <f t="shared" si="2"/>
        <v>6336.75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</row>
    <row r="36" spans="1:223" s="4" customFormat="1" ht="23.25">
      <c r="A36" s="421"/>
      <c r="B36" s="484" t="s">
        <v>845</v>
      </c>
      <c r="C36" s="464" t="s">
        <v>96</v>
      </c>
      <c r="D36" s="485" t="s">
        <v>1490</v>
      </c>
      <c r="E36" s="486" t="s">
        <v>512</v>
      </c>
      <c r="F36" s="467"/>
      <c r="G36" s="480" t="s">
        <v>229</v>
      </c>
      <c r="H36" s="479" t="s">
        <v>145</v>
      </c>
      <c r="I36" s="481" t="s">
        <v>149</v>
      </c>
      <c r="J36" s="507" t="s">
        <v>570</v>
      </c>
      <c r="K36" s="481"/>
      <c r="L36" s="892">
        <f>1.02*4530</f>
        <v>4620.6000000000004</v>
      </c>
      <c r="M36" s="508">
        <f t="shared" si="2"/>
        <v>5775.75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</row>
    <row r="37" spans="1:223" s="4" customFormat="1" ht="23.25">
      <c r="A37" s="421"/>
      <c r="B37" s="484" t="s">
        <v>844</v>
      </c>
      <c r="C37" s="464" t="s">
        <v>96</v>
      </c>
      <c r="D37" s="485" t="s">
        <v>75</v>
      </c>
      <c r="E37" s="486" t="s">
        <v>27</v>
      </c>
      <c r="F37" s="467"/>
      <c r="G37" s="480" t="s">
        <v>76</v>
      </c>
      <c r="H37" s="474" t="s">
        <v>145</v>
      </c>
      <c r="I37" s="481" t="s">
        <v>149</v>
      </c>
      <c r="J37" s="481"/>
      <c r="K37" s="481"/>
      <c r="L37" s="892">
        <f>1.02*4800</f>
        <v>4896</v>
      </c>
      <c r="M37" s="508">
        <f t="shared" si="2"/>
        <v>6120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</row>
    <row r="38" spans="1:223" s="4" customFormat="1" ht="23.25">
      <c r="A38" s="421"/>
      <c r="B38" s="484" t="s">
        <v>846</v>
      </c>
      <c r="C38" s="464" t="s">
        <v>96</v>
      </c>
      <c r="D38" s="485" t="s">
        <v>1491</v>
      </c>
      <c r="E38" s="486" t="s">
        <v>549</v>
      </c>
      <c r="F38" s="483"/>
      <c r="G38" s="480" t="s">
        <v>550</v>
      </c>
      <c r="H38" s="479"/>
      <c r="I38" s="481" t="s">
        <v>151</v>
      </c>
      <c r="J38" s="507"/>
      <c r="K38" s="481"/>
      <c r="L38" s="892">
        <f>1.02*4530</f>
        <v>4620.6000000000004</v>
      </c>
      <c r="M38" s="508">
        <f t="shared" si="2"/>
        <v>5775.75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1:223" s="4" customFormat="1" ht="23.25">
      <c r="A39" s="421"/>
      <c r="B39" s="484" t="s">
        <v>847</v>
      </c>
      <c r="C39" s="529" t="s">
        <v>96</v>
      </c>
      <c r="D39" s="523" t="s">
        <v>256</v>
      </c>
      <c r="E39" s="486" t="s">
        <v>555</v>
      </c>
      <c r="F39" s="467"/>
      <c r="G39" s="480" t="s">
        <v>201</v>
      </c>
      <c r="H39" s="467"/>
      <c r="I39" s="481" t="s">
        <v>234</v>
      </c>
      <c r="J39" s="481"/>
      <c r="K39" s="481"/>
      <c r="L39" s="892">
        <f>1.02*5950</f>
        <v>6069</v>
      </c>
      <c r="M39" s="508">
        <f t="shared" si="2"/>
        <v>7586.25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pans="1:223" s="4" customFormat="1" ht="37.5" customHeight="1">
      <c r="A40" s="421"/>
      <c r="B40" s="463" t="s">
        <v>848</v>
      </c>
      <c r="C40" s="464" t="s">
        <v>96</v>
      </c>
      <c r="D40" s="527" t="s">
        <v>408</v>
      </c>
      <c r="E40" s="466" t="s">
        <v>553</v>
      </c>
      <c r="F40" s="467"/>
      <c r="G40" s="468" t="s">
        <v>174</v>
      </c>
      <c r="H40" s="474" t="s">
        <v>145</v>
      </c>
      <c r="I40" s="528" t="s">
        <v>148</v>
      </c>
      <c r="J40" s="528"/>
      <c r="K40" s="528"/>
      <c r="L40" s="892">
        <f>1.02*5930</f>
        <v>6048.6</v>
      </c>
      <c r="M40" s="508">
        <f t="shared" si="2"/>
        <v>7560.75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:223" s="4" customFormat="1" ht="35.25" customHeight="1">
      <c r="A41" s="421"/>
      <c r="B41" s="463" t="s">
        <v>849</v>
      </c>
      <c r="C41" s="464" t="s">
        <v>96</v>
      </c>
      <c r="D41" s="527" t="s">
        <v>407</v>
      </c>
      <c r="E41" s="466" t="s">
        <v>552</v>
      </c>
      <c r="F41" s="467"/>
      <c r="G41" s="468" t="s">
        <v>173</v>
      </c>
      <c r="H41" s="469"/>
      <c r="I41" s="528" t="s">
        <v>150</v>
      </c>
      <c r="J41" s="528"/>
      <c r="K41" s="528"/>
      <c r="L41" s="892">
        <f>1.02*5930</f>
        <v>6048.6</v>
      </c>
      <c r="M41" s="508">
        <f t="shared" si="2"/>
        <v>7560.75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:223" s="4" customFormat="1" ht="39.75" customHeight="1">
      <c r="A42" s="421"/>
      <c r="B42" s="463" t="s">
        <v>850</v>
      </c>
      <c r="C42" s="464" t="s">
        <v>96</v>
      </c>
      <c r="D42" s="527" t="s">
        <v>409</v>
      </c>
      <c r="E42" s="466" t="s">
        <v>554</v>
      </c>
      <c r="F42" s="467"/>
      <c r="G42" s="468" t="s">
        <v>170</v>
      </c>
      <c r="H42" s="467"/>
      <c r="I42" s="528" t="s">
        <v>148</v>
      </c>
      <c r="J42" s="528"/>
      <c r="K42" s="528"/>
      <c r="L42" s="892">
        <f>1.02*5930</f>
        <v>6048.6</v>
      </c>
      <c r="M42" s="508">
        <f t="shared" si="2"/>
        <v>7560.75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pans="1:223" s="4" customFormat="1" ht="63" customHeight="1">
      <c r="A43" s="421"/>
      <c r="B43" s="463" t="s">
        <v>851</v>
      </c>
      <c r="C43" s="464" t="s">
        <v>96</v>
      </c>
      <c r="D43" s="527" t="s">
        <v>406</v>
      </c>
      <c r="E43" s="530" t="s">
        <v>101</v>
      </c>
      <c r="F43" s="467"/>
      <c r="G43" s="531" t="s">
        <v>169</v>
      </c>
      <c r="H43" s="474" t="s">
        <v>145</v>
      </c>
      <c r="I43" s="471" t="s">
        <v>149</v>
      </c>
      <c r="J43" s="471"/>
      <c r="K43" s="471"/>
      <c r="L43" s="892">
        <f>1.02*4530</f>
        <v>4620.6000000000004</v>
      </c>
      <c r="M43" s="508">
        <f t="shared" si="2"/>
        <v>5775.75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pans="1:223" s="4" customFormat="1" ht="23.25">
      <c r="A44" s="421"/>
      <c r="B44" s="484" t="s">
        <v>852</v>
      </c>
      <c r="C44" s="464" t="s">
        <v>96</v>
      </c>
      <c r="D44" s="485" t="s">
        <v>734</v>
      </c>
      <c r="E44" s="486" t="s">
        <v>435</v>
      </c>
      <c r="F44" s="467"/>
      <c r="G44" s="480" t="s">
        <v>198</v>
      </c>
      <c r="H44" s="479" t="s">
        <v>145</v>
      </c>
      <c r="I44" s="481" t="s">
        <v>430</v>
      </c>
      <c r="J44" s="507" t="s">
        <v>570</v>
      </c>
      <c r="K44" s="481"/>
      <c r="L44" s="892">
        <f>1.02*5950</f>
        <v>6069</v>
      </c>
      <c r="M44" s="508">
        <f t="shared" si="2"/>
        <v>7586.25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</row>
    <row r="45" spans="1:223" s="4" customFormat="1" ht="36.75" customHeight="1">
      <c r="A45" s="421"/>
      <c r="B45" s="484" t="s">
        <v>853</v>
      </c>
      <c r="C45" s="464" t="s">
        <v>96</v>
      </c>
      <c r="D45" s="485" t="s">
        <v>1</v>
      </c>
      <c r="E45" s="466" t="s">
        <v>450</v>
      </c>
      <c r="F45" s="467"/>
      <c r="G45" s="480" t="s">
        <v>235</v>
      </c>
      <c r="H45" s="467"/>
      <c r="I45" s="481" t="s">
        <v>149</v>
      </c>
      <c r="J45" s="481"/>
      <c r="K45" s="481"/>
      <c r="L45" s="892">
        <f>1.02*5550</f>
        <v>5661</v>
      </c>
      <c r="M45" s="508">
        <f t="shared" si="2"/>
        <v>7076.25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</row>
    <row r="46" spans="1:223" s="4" customFormat="1" ht="23.25">
      <c r="A46" s="421"/>
      <c r="B46" s="463" t="s">
        <v>854</v>
      </c>
      <c r="C46" s="464" t="s">
        <v>96</v>
      </c>
      <c r="D46" s="485" t="s">
        <v>1492</v>
      </c>
      <c r="E46" s="486" t="s">
        <v>549</v>
      </c>
      <c r="F46" s="483"/>
      <c r="G46" s="480" t="s">
        <v>576</v>
      </c>
      <c r="H46" s="479"/>
      <c r="I46" s="481" t="s">
        <v>525</v>
      </c>
      <c r="J46" s="507" t="s">
        <v>481</v>
      </c>
      <c r="K46" s="481"/>
      <c r="L46" s="892">
        <f>1.02*6970</f>
        <v>7109.4000000000005</v>
      </c>
      <c r="M46" s="508">
        <f t="shared" si="2"/>
        <v>8886.75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</row>
    <row r="47" spans="1:223" s="4" customFormat="1" ht="22.5" customHeight="1">
      <c r="A47" s="421"/>
      <c r="B47" s="484" t="s">
        <v>855</v>
      </c>
      <c r="C47" s="464" t="s">
        <v>92</v>
      </c>
      <c r="D47" s="485" t="s">
        <v>1492</v>
      </c>
      <c r="E47" s="486" t="s">
        <v>549</v>
      </c>
      <c r="F47" s="483"/>
      <c r="G47" s="480"/>
      <c r="H47" s="479"/>
      <c r="I47" s="481" t="s">
        <v>525</v>
      </c>
      <c r="J47" s="507" t="s">
        <v>481</v>
      </c>
      <c r="K47" s="522" t="s">
        <v>7</v>
      </c>
      <c r="L47" s="892">
        <f>1.02*11690</f>
        <v>11923.800000000001</v>
      </c>
      <c r="M47" s="508">
        <f t="shared" si="2"/>
        <v>14904.750000000002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</row>
    <row r="48" spans="1:223" s="52" customFormat="1" ht="23.25" customHeight="1">
      <c r="A48" s="421"/>
      <c r="B48" s="499"/>
      <c r="C48" s="515"/>
      <c r="D48" s="500" t="s">
        <v>263</v>
      </c>
      <c r="E48" s="501"/>
      <c r="F48" s="517"/>
      <c r="G48" s="518"/>
      <c r="H48" s="517"/>
      <c r="I48" s="519"/>
      <c r="J48" s="506"/>
      <c r="K48" s="506"/>
      <c r="L48" s="892"/>
      <c r="M48" s="508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223" s="8" customFormat="1" ht="32.25" customHeight="1">
      <c r="A49" s="421"/>
      <c r="B49" s="463" t="s">
        <v>856</v>
      </c>
      <c r="C49" s="464" t="s">
        <v>96</v>
      </c>
      <c r="D49" s="465" t="s">
        <v>1493</v>
      </c>
      <c r="E49" s="532" t="s">
        <v>24</v>
      </c>
      <c r="F49" s="533"/>
      <c r="G49" s="534" t="s">
        <v>176</v>
      </c>
      <c r="H49" s="533"/>
      <c r="I49" s="470" t="s">
        <v>151</v>
      </c>
      <c r="J49" s="481" t="s">
        <v>481</v>
      </c>
      <c r="K49" s="535"/>
      <c r="L49" s="892">
        <f>1.02*6540</f>
        <v>6670.8</v>
      </c>
      <c r="M49" s="508">
        <f>L49*1.25</f>
        <v>8338.5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</row>
    <row r="50" spans="1:223" ht="18.75" customHeight="1">
      <c r="A50" s="421"/>
      <c r="B50" s="536"/>
      <c r="C50" s="537"/>
      <c r="D50" s="538" t="s">
        <v>118</v>
      </c>
      <c r="E50" s="539"/>
      <c r="F50" s="540"/>
      <c r="G50" s="541"/>
      <c r="H50" s="540"/>
      <c r="I50" s="519"/>
      <c r="J50" s="519"/>
      <c r="K50" s="519"/>
      <c r="L50" s="892"/>
      <c r="M50" s="508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</row>
    <row r="51" spans="1:223" ht="21.75" customHeight="1">
      <c r="A51" s="421"/>
      <c r="B51" s="463" t="s">
        <v>857</v>
      </c>
      <c r="C51" s="464" t="s">
        <v>96</v>
      </c>
      <c r="D51" s="465" t="s">
        <v>262</v>
      </c>
      <c r="E51" s="466" t="s">
        <v>109</v>
      </c>
      <c r="F51" s="467"/>
      <c r="G51" s="468" t="s">
        <v>179</v>
      </c>
      <c r="H51" s="479" t="s">
        <v>145</v>
      </c>
      <c r="I51" s="470" t="s">
        <v>151</v>
      </c>
      <c r="J51" s="471"/>
      <c r="K51" s="471"/>
      <c r="L51" s="892">
        <f>1.02*4610</f>
        <v>4702.2</v>
      </c>
      <c r="M51" s="508">
        <f t="shared" ref="M51:M59" si="3">L51*1.25</f>
        <v>5877.75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</row>
    <row r="52" spans="1:223" ht="21" customHeight="1">
      <c r="A52" s="421"/>
      <c r="B52" s="463" t="s">
        <v>1225</v>
      </c>
      <c r="C52" s="464" t="s">
        <v>96</v>
      </c>
      <c r="D52" s="465" t="s">
        <v>1494</v>
      </c>
      <c r="E52" s="466" t="s">
        <v>648</v>
      </c>
      <c r="F52" s="542" t="s">
        <v>1213</v>
      </c>
      <c r="G52" s="468" t="s">
        <v>594</v>
      </c>
      <c r="H52" s="543"/>
      <c r="I52" s="544" t="s">
        <v>150</v>
      </c>
      <c r="J52" s="471"/>
      <c r="K52" s="471"/>
      <c r="L52" s="892">
        <f>1.02*4520</f>
        <v>4610.3999999999996</v>
      </c>
      <c r="M52" s="508">
        <f t="shared" si="3"/>
        <v>5763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</row>
    <row r="53" spans="1:223" ht="18.75" customHeight="1">
      <c r="A53" s="421"/>
      <c r="B53" s="545" t="s">
        <v>858</v>
      </c>
      <c r="C53" s="546" t="s">
        <v>96</v>
      </c>
      <c r="D53" s="547" t="s">
        <v>504</v>
      </c>
      <c r="E53" s="548" t="s">
        <v>502</v>
      </c>
      <c r="F53" s="467"/>
      <c r="G53" s="468" t="s">
        <v>215</v>
      </c>
      <c r="H53" s="549"/>
      <c r="I53" s="544" t="s">
        <v>503</v>
      </c>
      <c r="J53" s="470"/>
      <c r="K53" s="471"/>
      <c r="L53" s="892">
        <f>1.02*4520</f>
        <v>4610.3999999999996</v>
      </c>
      <c r="M53" s="508">
        <f t="shared" si="3"/>
        <v>5763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</row>
    <row r="54" spans="1:223" ht="18.75" customHeight="1">
      <c r="A54" s="421"/>
      <c r="B54" s="550" t="s">
        <v>859</v>
      </c>
      <c r="C54" s="551" t="s">
        <v>96</v>
      </c>
      <c r="D54" s="465" t="s">
        <v>535</v>
      </c>
      <c r="E54" s="552" t="s">
        <v>435</v>
      </c>
      <c r="F54" s="553"/>
      <c r="G54" s="554" t="s">
        <v>524</v>
      </c>
      <c r="H54" s="555" t="s">
        <v>441</v>
      </c>
      <c r="I54" s="556" t="s">
        <v>503</v>
      </c>
      <c r="J54" s="470"/>
      <c r="K54" s="471"/>
      <c r="L54" s="892">
        <f>1.02*4520</f>
        <v>4610.3999999999996</v>
      </c>
      <c r="M54" s="508">
        <f t="shared" si="3"/>
        <v>5763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</row>
    <row r="55" spans="1:223" ht="18.75" customHeight="1">
      <c r="A55" s="421"/>
      <c r="B55" s="550" t="s">
        <v>860</v>
      </c>
      <c r="C55" s="551" t="s">
        <v>96</v>
      </c>
      <c r="D55" s="557" t="s">
        <v>735</v>
      </c>
      <c r="E55" s="552" t="s">
        <v>109</v>
      </c>
      <c r="F55" s="553"/>
      <c r="G55" s="554" t="s">
        <v>230</v>
      </c>
      <c r="H55" s="558"/>
      <c r="I55" s="559" t="s">
        <v>148</v>
      </c>
      <c r="J55" s="470"/>
      <c r="K55" s="471"/>
      <c r="L55" s="892">
        <f>1.02*4560</f>
        <v>4651.2</v>
      </c>
      <c r="M55" s="508">
        <f t="shared" si="3"/>
        <v>5814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</row>
    <row r="56" spans="1:223" ht="18.75" customHeight="1">
      <c r="A56" s="421"/>
      <c r="B56" s="463" t="s">
        <v>861</v>
      </c>
      <c r="C56" s="464" t="s">
        <v>96</v>
      </c>
      <c r="D56" s="465" t="s">
        <v>1495</v>
      </c>
      <c r="E56" s="466" t="s">
        <v>437</v>
      </c>
      <c r="F56" s="467"/>
      <c r="G56" s="560" t="s">
        <v>536</v>
      </c>
      <c r="H56" s="549"/>
      <c r="I56" s="544" t="s">
        <v>148</v>
      </c>
      <c r="J56" s="561"/>
      <c r="K56" s="471"/>
      <c r="L56" s="892">
        <f>1.02*4900</f>
        <v>4998</v>
      </c>
      <c r="M56" s="508">
        <f t="shared" si="3"/>
        <v>6247.5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</row>
    <row r="57" spans="1:223" ht="35.25" customHeight="1">
      <c r="A57" s="421"/>
      <c r="B57" s="463" t="s">
        <v>862</v>
      </c>
      <c r="C57" s="464" t="s">
        <v>96</v>
      </c>
      <c r="D57" s="465" t="s">
        <v>372</v>
      </c>
      <c r="E57" s="466" t="s">
        <v>671</v>
      </c>
      <c r="F57" s="467"/>
      <c r="G57" s="562" t="s">
        <v>178</v>
      </c>
      <c r="H57" s="563"/>
      <c r="I57" s="564" t="s">
        <v>162</v>
      </c>
      <c r="J57" s="561"/>
      <c r="K57" s="477"/>
      <c r="L57" s="892">
        <f>1.02*6610</f>
        <v>6742.2</v>
      </c>
      <c r="M57" s="508">
        <f t="shared" si="3"/>
        <v>8427.75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</row>
    <row r="58" spans="1:223" ht="37.5" customHeight="1">
      <c r="A58" s="421"/>
      <c r="B58" s="565" t="s">
        <v>863</v>
      </c>
      <c r="C58" s="566" t="s">
        <v>96</v>
      </c>
      <c r="D58" s="567" t="s">
        <v>1496</v>
      </c>
      <c r="E58" s="568" t="s">
        <v>801</v>
      </c>
      <c r="F58" s="467"/>
      <c r="G58" s="562" t="s">
        <v>533</v>
      </c>
      <c r="H58" s="566" t="s">
        <v>441</v>
      </c>
      <c r="I58" s="564" t="s">
        <v>148</v>
      </c>
      <c r="J58" s="569"/>
      <c r="K58" s="477"/>
      <c r="L58" s="892">
        <f>1.02*5620</f>
        <v>5732.4000000000005</v>
      </c>
      <c r="M58" s="508">
        <f t="shared" si="3"/>
        <v>7165.5000000000009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</row>
    <row r="59" spans="1:223" ht="33.75" customHeight="1">
      <c r="A59" s="421"/>
      <c r="B59" s="565" t="s">
        <v>864</v>
      </c>
      <c r="C59" s="566" t="s">
        <v>96</v>
      </c>
      <c r="D59" s="567" t="s">
        <v>1497</v>
      </c>
      <c r="E59" s="568" t="s">
        <v>648</v>
      </c>
      <c r="F59" s="467"/>
      <c r="G59" s="562" t="s">
        <v>524</v>
      </c>
      <c r="H59" s="566" t="s">
        <v>441</v>
      </c>
      <c r="I59" s="564" t="s">
        <v>148</v>
      </c>
      <c r="J59" s="569"/>
      <c r="K59" s="477"/>
      <c r="L59" s="892">
        <f>1.02*5620</f>
        <v>5732.4000000000005</v>
      </c>
      <c r="M59" s="508">
        <f t="shared" si="3"/>
        <v>7165.5000000000009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</row>
    <row r="60" spans="1:223" ht="18.75" customHeight="1">
      <c r="A60" s="421"/>
      <c r="B60" s="570"/>
      <c r="C60" s="571"/>
      <c r="D60" s="572" t="s">
        <v>649</v>
      </c>
      <c r="E60" s="573"/>
      <c r="F60" s="574"/>
      <c r="G60" s="575"/>
      <c r="H60" s="574"/>
      <c r="I60" s="576"/>
      <c r="J60" s="504"/>
      <c r="K60" s="519"/>
      <c r="L60" s="892"/>
      <c r="M60" s="508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</row>
    <row r="61" spans="1:223" ht="22.5" customHeight="1">
      <c r="A61" s="421"/>
      <c r="B61" s="565" t="s">
        <v>865</v>
      </c>
      <c r="C61" s="566" t="s">
        <v>96</v>
      </c>
      <c r="D61" s="567" t="s">
        <v>1498</v>
      </c>
      <c r="E61" s="577" t="s">
        <v>549</v>
      </c>
      <c r="F61" s="483"/>
      <c r="G61" s="562" t="s">
        <v>650</v>
      </c>
      <c r="H61" s="578"/>
      <c r="I61" s="579" t="s">
        <v>153</v>
      </c>
      <c r="J61" s="561" t="s">
        <v>481</v>
      </c>
      <c r="K61" s="471"/>
      <c r="L61" s="892">
        <f>1.02*6540</f>
        <v>6670.8</v>
      </c>
      <c r="M61" s="508">
        <f>L61*1.25</f>
        <v>8338.5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</row>
    <row r="62" spans="1:223" ht="18.75" customHeight="1">
      <c r="A62" s="421"/>
      <c r="B62" s="570"/>
      <c r="C62" s="571"/>
      <c r="D62" s="572" t="s">
        <v>116</v>
      </c>
      <c r="E62" s="573"/>
      <c r="F62" s="574"/>
      <c r="G62" s="575"/>
      <c r="H62" s="574"/>
      <c r="I62" s="576"/>
      <c r="J62" s="504"/>
      <c r="K62" s="519"/>
      <c r="L62" s="892"/>
      <c r="M62" s="508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</row>
    <row r="63" spans="1:223" ht="39.75" customHeight="1">
      <c r="A63" s="421"/>
      <c r="B63" s="580" t="s">
        <v>866</v>
      </c>
      <c r="C63" s="581" t="s">
        <v>96</v>
      </c>
      <c r="D63" s="582" t="s">
        <v>1499</v>
      </c>
      <c r="E63" s="583" t="s">
        <v>459</v>
      </c>
      <c r="F63" s="584"/>
      <c r="G63" s="585" t="s">
        <v>204</v>
      </c>
      <c r="H63" s="586" t="s">
        <v>145</v>
      </c>
      <c r="I63" s="587" t="s">
        <v>155</v>
      </c>
      <c r="J63" s="587" t="s">
        <v>481</v>
      </c>
      <c r="K63" s="588"/>
      <c r="L63" s="892">
        <f>1.02*6040</f>
        <v>6160.8</v>
      </c>
      <c r="M63" s="508">
        <f t="shared" ref="M63:M72" si="4">L63*1.25</f>
        <v>7701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</row>
    <row r="64" spans="1:223" ht="51" customHeight="1">
      <c r="A64" s="421"/>
      <c r="B64" s="463" t="s">
        <v>867</v>
      </c>
      <c r="C64" s="464" t="s">
        <v>96</v>
      </c>
      <c r="D64" s="465" t="s">
        <v>16</v>
      </c>
      <c r="E64" s="466" t="s">
        <v>266</v>
      </c>
      <c r="F64" s="467"/>
      <c r="G64" s="468" t="s">
        <v>179</v>
      </c>
      <c r="H64" s="474" t="s">
        <v>145</v>
      </c>
      <c r="I64" s="471" t="s">
        <v>150</v>
      </c>
      <c r="J64" s="471"/>
      <c r="K64" s="471"/>
      <c r="L64" s="892">
        <f>1.02*5950</f>
        <v>6069</v>
      </c>
      <c r="M64" s="508">
        <f t="shared" si="4"/>
        <v>7586.25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</row>
    <row r="65" spans="1:223" ht="75.75" customHeight="1">
      <c r="A65" s="421"/>
      <c r="B65" s="463" t="s">
        <v>868</v>
      </c>
      <c r="C65" s="464" t="s">
        <v>96</v>
      </c>
      <c r="D65" s="465" t="s">
        <v>1500</v>
      </c>
      <c r="E65" s="466" t="s">
        <v>41</v>
      </c>
      <c r="F65" s="467"/>
      <c r="G65" s="468" t="s">
        <v>231</v>
      </c>
      <c r="H65" s="474"/>
      <c r="I65" s="470" t="s">
        <v>155</v>
      </c>
      <c r="J65" s="481" t="s">
        <v>481</v>
      </c>
      <c r="K65" s="471"/>
      <c r="L65" s="892">
        <f>1.02*5290</f>
        <v>5395.8</v>
      </c>
      <c r="M65" s="508">
        <f t="shared" si="4"/>
        <v>6744.75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</row>
    <row r="66" spans="1:223" ht="24" customHeight="1">
      <c r="A66" s="421"/>
      <c r="B66" s="463" t="s">
        <v>1016</v>
      </c>
      <c r="C66" s="464" t="s">
        <v>96</v>
      </c>
      <c r="D66" s="589" t="s">
        <v>1289</v>
      </c>
      <c r="E66" s="466" t="s">
        <v>368</v>
      </c>
      <c r="F66" s="467"/>
      <c r="G66" s="480" t="s">
        <v>427</v>
      </c>
      <c r="H66" s="479" t="s">
        <v>145</v>
      </c>
      <c r="I66" s="481" t="s">
        <v>428</v>
      </c>
      <c r="J66" s="471"/>
      <c r="K66" s="590"/>
      <c r="L66" s="892">
        <f>1.02*5310</f>
        <v>5416.2</v>
      </c>
      <c r="M66" s="508">
        <f t="shared" si="4"/>
        <v>6770.25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</row>
    <row r="67" spans="1:223" ht="23.25">
      <c r="A67" s="421"/>
      <c r="B67" s="463" t="s">
        <v>869</v>
      </c>
      <c r="C67" s="464" t="s">
        <v>96</v>
      </c>
      <c r="D67" s="465" t="s">
        <v>1501</v>
      </c>
      <c r="E67" s="466" t="s">
        <v>502</v>
      </c>
      <c r="F67" s="467"/>
      <c r="G67" s="468" t="s">
        <v>528</v>
      </c>
      <c r="H67" s="474" t="s">
        <v>145</v>
      </c>
      <c r="I67" s="471" t="s">
        <v>150</v>
      </c>
      <c r="J67" s="507" t="s">
        <v>481</v>
      </c>
      <c r="K67" s="471"/>
      <c r="L67" s="892">
        <f>1.02*5050</f>
        <v>5151</v>
      </c>
      <c r="M67" s="508">
        <f t="shared" si="4"/>
        <v>6438.75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</row>
    <row r="68" spans="1:223" s="75" customFormat="1" ht="81" customHeight="1">
      <c r="A68" s="421"/>
      <c r="B68" s="529" t="s">
        <v>870</v>
      </c>
      <c r="C68" s="464" t="s">
        <v>96</v>
      </c>
      <c r="D68" s="591" t="s">
        <v>737</v>
      </c>
      <c r="E68" s="592" t="s">
        <v>738</v>
      </c>
      <c r="F68" s="467"/>
      <c r="G68" s="593" t="s">
        <v>476</v>
      </c>
      <c r="H68" s="474" t="s">
        <v>145</v>
      </c>
      <c r="I68" s="475" t="s">
        <v>148</v>
      </c>
      <c r="J68" s="594" t="s">
        <v>508</v>
      </c>
      <c r="K68" s="477"/>
      <c r="L68" s="892">
        <f>1.02*5260</f>
        <v>5365.2</v>
      </c>
      <c r="M68" s="508">
        <f t="shared" si="4"/>
        <v>6706.5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</row>
    <row r="69" spans="1:223" s="75" customFormat="1" ht="23.25">
      <c r="A69" s="421"/>
      <c r="B69" s="463" t="s">
        <v>871</v>
      </c>
      <c r="C69" s="464" t="s">
        <v>96</v>
      </c>
      <c r="D69" s="465" t="s">
        <v>1502</v>
      </c>
      <c r="E69" s="466" t="s">
        <v>549</v>
      </c>
      <c r="F69" s="483"/>
      <c r="G69" s="468" t="s">
        <v>537</v>
      </c>
      <c r="H69" s="474"/>
      <c r="I69" s="470" t="s">
        <v>151</v>
      </c>
      <c r="J69" s="507" t="s">
        <v>481</v>
      </c>
      <c r="K69" s="471"/>
      <c r="L69" s="892">
        <f>1.02*4740</f>
        <v>4834.8</v>
      </c>
      <c r="M69" s="508">
        <f t="shared" si="4"/>
        <v>6043.5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</row>
    <row r="70" spans="1:223" ht="23.25">
      <c r="A70" s="421"/>
      <c r="B70" s="463" t="s">
        <v>872</v>
      </c>
      <c r="C70" s="464" t="s">
        <v>144</v>
      </c>
      <c r="D70" s="589" t="s">
        <v>1503</v>
      </c>
      <c r="E70" s="466" t="s">
        <v>117</v>
      </c>
      <c r="F70" s="467"/>
      <c r="G70" s="480" t="s">
        <v>244</v>
      </c>
      <c r="H70" s="595"/>
      <c r="I70" s="481" t="s">
        <v>163</v>
      </c>
      <c r="J70" s="481" t="s">
        <v>481</v>
      </c>
      <c r="K70" s="477"/>
      <c r="L70" s="892">
        <f>1.02*11730</f>
        <v>11964.6</v>
      </c>
      <c r="M70" s="508">
        <f t="shared" si="4"/>
        <v>14955.75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</row>
    <row r="71" spans="1:223" ht="27" customHeight="1">
      <c r="A71" s="421"/>
      <c r="B71" s="463" t="s">
        <v>1240</v>
      </c>
      <c r="C71" s="464" t="s">
        <v>103</v>
      </c>
      <c r="D71" s="589" t="s">
        <v>1504</v>
      </c>
      <c r="E71" s="466" t="s">
        <v>117</v>
      </c>
      <c r="F71" s="542" t="s">
        <v>1213</v>
      </c>
      <c r="G71" s="480"/>
      <c r="H71" s="595"/>
      <c r="I71" s="481" t="s">
        <v>163</v>
      </c>
      <c r="J71" s="481" t="s">
        <v>481</v>
      </c>
      <c r="K71" s="477"/>
      <c r="L71" s="892">
        <f>1.02*7640</f>
        <v>7792.8</v>
      </c>
      <c r="M71" s="508">
        <f t="shared" si="4"/>
        <v>9741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</row>
    <row r="72" spans="1:223" s="8" customFormat="1" ht="35.25" customHeight="1">
      <c r="A72" s="421"/>
      <c r="B72" s="596" t="s">
        <v>873</v>
      </c>
      <c r="C72" s="490" t="s">
        <v>92</v>
      </c>
      <c r="D72" s="597" t="s">
        <v>736</v>
      </c>
      <c r="E72" s="598" t="s">
        <v>109</v>
      </c>
      <c r="F72" s="525"/>
      <c r="G72" s="599" t="s">
        <v>243</v>
      </c>
      <c r="H72" s="600"/>
      <c r="I72" s="601" t="s">
        <v>161</v>
      </c>
      <c r="J72" s="601" t="s">
        <v>481</v>
      </c>
      <c r="K72" s="601"/>
      <c r="L72" s="892">
        <v>9500</v>
      </c>
      <c r="M72" s="498">
        <f t="shared" si="4"/>
        <v>11875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</row>
    <row r="73" spans="1:223" s="52" customFormat="1" ht="18.75" customHeight="1">
      <c r="A73" s="421"/>
      <c r="B73" s="499"/>
      <c r="C73" s="515"/>
      <c r="D73" s="516" t="s">
        <v>267</v>
      </c>
      <c r="E73" s="501"/>
      <c r="F73" s="502"/>
      <c r="G73" s="503"/>
      <c r="H73" s="502"/>
      <c r="I73" s="504"/>
      <c r="J73" s="505"/>
      <c r="K73" s="506"/>
      <c r="L73" s="892"/>
      <c r="M73" s="508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</row>
    <row r="74" spans="1:223" s="86" customFormat="1" ht="48" customHeight="1">
      <c r="A74" s="421"/>
      <c r="B74" s="484" t="s">
        <v>874</v>
      </c>
      <c r="C74" s="464" t="s">
        <v>96</v>
      </c>
      <c r="D74" s="465" t="s">
        <v>515</v>
      </c>
      <c r="E74" s="486" t="s">
        <v>27</v>
      </c>
      <c r="F74" s="467"/>
      <c r="G74" s="480" t="s">
        <v>220</v>
      </c>
      <c r="H74" s="469"/>
      <c r="I74" s="481" t="s">
        <v>237</v>
      </c>
      <c r="J74" s="481"/>
      <c r="K74" s="477"/>
      <c r="L74" s="892">
        <f>1.02*4580</f>
        <v>4671.6000000000004</v>
      </c>
      <c r="M74" s="508">
        <f t="shared" ref="M74:M80" si="5">L74*1.25</f>
        <v>5839.5</v>
      </c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</row>
    <row r="75" spans="1:223" s="86" customFormat="1" ht="70.5" customHeight="1">
      <c r="A75" s="421"/>
      <c r="B75" s="463" t="s">
        <v>849</v>
      </c>
      <c r="C75" s="509" t="s">
        <v>96</v>
      </c>
      <c r="D75" s="602" t="s">
        <v>1505</v>
      </c>
      <c r="E75" s="466" t="s">
        <v>643</v>
      </c>
      <c r="F75" s="603"/>
      <c r="G75" s="468" t="s">
        <v>173</v>
      </c>
      <c r="H75" s="604"/>
      <c r="I75" s="528" t="s">
        <v>150</v>
      </c>
      <c r="J75" s="528"/>
      <c r="K75" s="477"/>
      <c r="L75" s="892">
        <f>1.02*5930</f>
        <v>6048.6</v>
      </c>
      <c r="M75" s="508">
        <f t="shared" si="5"/>
        <v>7560.75</v>
      </c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</row>
    <row r="76" spans="1:223" s="88" customFormat="1" ht="51" customHeight="1">
      <c r="A76" s="421"/>
      <c r="B76" s="463" t="s">
        <v>851</v>
      </c>
      <c r="C76" s="509" t="s">
        <v>96</v>
      </c>
      <c r="D76" s="465" t="s">
        <v>67</v>
      </c>
      <c r="E76" s="466" t="s">
        <v>101</v>
      </c>
      <c r="F76" s="603"/>
      <c r="G76" s="468" t="s">
        <v>169</v>
      </c>
      <c r="H76" s="474" t="s">
        <v>145</v>
      </c>
      <c r="I76" s="528" t="s">
        <v>149</v>
      </c>
      <c r="J76" s="528"/>
      <c r="K76" s="477"/>
      <c r="L76" s="892">
        <f>1.02*4530</f>
        <v>4620.6000000000004</v>
      </c>
      <c r="M76" s="508">
        <f t="shared" si="5"/>
        <v>5775.75</v>
      </c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</row>
    <row r="77" spans="1:223" s="88" customFormat="1" ht="23.25">
      <c r="A77" s="421"/>
      <c r="B77" s="489" t="s">
        <v>875</v>
      </c>
      <c r="C77" s="490" t="s">
        <v>96</v>
      </c>
      <c r="D77" s="491" t="s">
        <v>260</v>
      </c>
      <c r="E77" s="492" t="s">
        <v>100</v>
      </c>
      <c r="F77" s="525"/>
      <c r="G77" s="494" t="s">
        <v>168</v>
      </c>
      <c r="H77" s="525"/>
      <c r="I77" s="496" t="s">
        <v>258</v>
      </c>
      <c r="J77" s="496"/>
      <c r="K77" s="497"/>
      <c r="L77" s="892">
        <v>3250</v>
      </c>
      <c r="M77" s="498">
        <f t="shared" si="5"/>
        <v>4062.5</v>
      </c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</row>
    <row r="78" spans="1:223" s="88" customFormat="1" ht="39.75" customHeight="1">
      <c r="A78" s="421"/>
      <c r="B78" s="489" t="s">
        <v>876</v>
      </c>
      <c r="C78" s="490" t="s">
        <v>96</v>
      </c>
      <c r="D78" s="491" t="s">
        <v>1506</v>
      </c>
      <c r="E78" s="492" t="s">
        <v>142</v>
      </c>
      <c r="F78" s="525"/>
      <c r="G78" s="494" t="s">
        <v>236</v>
      </c>
      <c r="H78" s="525"/>
      <c r="I78" s="496" t="s">
        <v>237</v>
      </c>
      <c r="J78" s="496"/>
      <c r="K78" s="497"/>
      <c r="L78" s="892">
        <v>4100</v>
      </c>
      <c r="M78" s="498">
        <f t="shared" si="5"/>
        <v>5125</v>
      </c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</row>
    <row r="79" spans="1:223" s="88" customFormat="1" ht="48.75" customHeight="1">
      <c r="A79" s="421"/>
      <c r="B79" s="463" t="s">
        <v>848</v>
      </c>
      <c r="C79" s="509" t="s">
        <v>96</v>
      </c>
      <c r="D79" s="605" t="s">
        <v>410</v>
      </c>
      <c r="E79" s="466" t="s">
        <v>554</v>
      </c>
      <c r="F79" s="603"/>
      <c r="G79" s="468" t="s">
        <v>174</v>
      </c>
      <c r="H79" s="479" t="s">
        <v>145</v>
      </c>
      <c r="I79" s="528" t="s">
        <v>148</v>
      </c>
      <c r="J79" s="528"/>
      <c r="K79" s="477"/>
      <c r="L79" s="892">
        <f>1.02*5930</f>
        <v>6048.6</v>
      </c>
      <c r="M79" s="508">
        <f t="shared" si="5"/>
        <v>7560.75</v>
      </c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</row>
    <row r="80" spans="1:223" s="88" customFormat="1" ht="45.75" customHeight="1">
      <c r="A80" s="421"/>
      <c r="B80" s="484" t="s">
        <v>853</v>
      </c>
      <c r="C80" s="464" t="s">
        <v>96</v>
      </c>
      <c r="D80" s="606" t="s">
        <v>1507</v>
      </c>
      <c r="E80" s="466" t="s">
        <v>451</v>
      </c>
      <c r="F80" s="467"/>
      <c r="G80" s="480" t="s">
        <v>235</v>
      </c>
      <c r="H80" s="467"/>
      <c r="I80" s="481" t="s">
        <v>149</v>
      </c>
      <c r="J80" s="481"/>
      <c r="K80" s="477"/>
      <c r="L80" s="892">
        <f>1.02*5550</f>
        <v>5661</v>
      </c>
      <c r="M80" s="508">
        <f t="shared" si="5"/>
        <v>7076.25</v>
      </c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</row>
    <row r="81" spans="1:227" s="53" customFormat="1" ht="16.5" customHeight="1">
      <c r="A81" s="421"/>
      <c r="B81" s="536"/>
      <c r="C81" s="537"/>
      <c r="D81" s="516" t="s">
        <v>268</v>
      </c>
      <c r="E81" s="536"/>
      <c r="F81" s="607"/>
      <c r="G81" s="503"/>
      <c r="H81" s="607"/>
      <c r="I81" s="504"/>
      <c r="J81" s="504"/>
      <c r="K81" s="519"/>
      <c r="L81" s="892"/>
      <c r="M81" s="508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</row>
    <row r="82" spans="1:227" s="13" customFormat="1" ht="72" customHeight="1">
      <c r="A82" s="421"/>
      <c r="B82" s="463" t="s">
        <v>856</v>
      </c>
      <c r="C82" s="463" t="s">
        <v>96</v>
      </c>
      <c r="D82" s="465" t="s">
        <v>1508</v>
      </c>
      <c r="E82" s="532" t="s">
        <v>31</v>
      </c>
      <c r="F82" s="533"/>
      <c r="G82" s="534" t="s">
        <v>176</v>
      </c>
      <c r="H82" s="533"/>
      <c r="I82" s="608" t="s">
        <v>151</v>
      </c>
      <c r="J82" s="481" t="s">
        <v>481</v>
      </c>
      <c r="K82" s="535"/>
      <c r="L82" s="892">
        <f>1.02*6540</f>
        <v>6670.8</v>
      </c>
      <c r="M82" s="508">
        <f>L82*1.25</f>
        <v>8338.5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</row>
    <row r="83" spans="1:227" s="75" customFormat="1" ht="21.75" customHeight="1">
      <c r="A83" s="421"/>
      <c r="B83" s="499"/>
      <c r="C83" s="499"/>
      <c r="D83" s="609" t="s">
        <v>581</v>
      </c>
      <c r="E83" s="499"/>
      <c r="F83" s="499"/>
      <c r="G83" s="499"/>
      <c r="H83" s="499"/>
      <c r="I83" s="499"/>
      <c r="J83" s="499"/>
      <c r="K83" s="610"/>
      <c r="L83" s="892"/>
      <c r="M83" s="508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</row>
    <row r="84" spans="1:227" s="75" customFormat="1" ht="20.25" customHeight="1">
      <c r="A84" s="421"/>
      <c r="B84" s="463" t="s">
        <v>877</v>
      </c>
      <c r="C84" s="463" t="s">
        <v>96</v>
      </c>
      <c r="D84" s="465" t="s">
        <v>1509</v>
      </c>
      <c r="E84" s="532" t="s">
        <v>437</v>
      </c>
      <c r="F84" s="611"/>
      <c r="G84" s="534" t="s">
        <v>582</v>
      </c>
      <c r="H84" s="474" t="s">
        <v>145</v>
      </c>
      <c r="I84" s="608" t="s">
        <v>148</v>
      </c>
      <c r="J84" s="481"/>
      <c r="K84" s="535"/>
      <c r="L84" s="892">
        <f>1.02*4760</f>
        <v>4855.2</v>
      </c>
      <c r="M84" s="508">
        <v>5725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</row>
    <row r="85" spans="1:227" s="75" customFormat="1" ht="20.25" customHeight="1">
      <c r="A85" s="421"/>
      <c r="B85" s="463" t="s">
        <v>878</v>
      </c>
      <c r="C85" s="463" t="s">
        <v>96</v>
      </c>
      <c r="D85" s="465" t="s">
        <v>1510</v>
      </c>
      <c r="E85" s="532">
        <v>2013</v>
      </c>
      <c r="F85" s="611"/>
      <c r="G85" s="534" t="s">
        <v>583</v>
      </c>
      <c r="H85" s="474"/>
      <c r="I85" s="608" t="s">
        <v>150</v>
      </c>
      <c r="J85" s="481"/>
      <c r="K85" s="535"/>
      <c r="L85" s="892">
        <v>4360</v>
      </c>
      <c r="M85" s="508">
        <v>5725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</row>
    <row r="86" spans="1:227" s="75" customFormat="1" ht="16.5" customHeight="1">
      <c r="A86" s="421"/>
      <c r="B86" s="499"/>
      <c r="C86" s="515"/>
      <c r="D86" s="500" t="s">
        <v>269</v>
      </c>
      <c r="E86" s="501"/>
      <c r="F86" s="502"/>
      <c r="G86" s="503"/>
      <c r="H86" s="502"/>
      <c r="I86" s="504"/>
      <c r="J86" s="505"/>
      <c r="K86" s="506"/>
      <c r="L86" s="892"/>
      <c r="M86" s="508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</row>
    <row r="87" spans="1:227" s="75" customFormat="1" ht="21" customHeight="1">
      <c r="A87" s="421"/>
      <c r="B87" s="489" t="s">
        <v>879</v>
      </c>
      <c r="C87" s="489" t="s">
        <v>96</v>
      </c>
      <c r="D87" s="491" t="s">
        <v>270</v>
      </c>
      <c r="E87" s="612" t="s">
        <v>556</v>
      </c>
      <c r="F87" s="525"/>
      <c r="G87" s="613" t="s">
        <v>180</v>
      </c>
      <c r="H87" s="495" t="s">
        <v>145</v>
      </c>
      <c r="I87" s="614" t="s">
        <v>395</v>
      </c>
      <c r="J87" s="614"/>
      <c r="K87" s="601"/>
      <c r="L87" s="892">
        <v>5300</v>
      </c>
      <c r="M87" s="498">
        <f>L87*1.25</f>
        <v>6625</v>
      </c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</row>
    <row r="88" spans="1:227" s="75" customFormat="1" ht="18.75" customHeight="1">
      <c r="A88" s="421"/>
      <c r="B88" s="529" t="s">
        <v>880</v>
      </c>
      <c r="C88" s="464" t="s">
        <v>96</v>
      </c>
      <c r="D88" s="615" t="s">
        <v>2</v>
      </c>
      <c r="E88" s="592" t="s">
        <v>100</v>
      </c>
      <c r="F88" s="467"/>
      <c r="G88" s="593" t="s">
        <v>238</v>
      </c>
      <c r="H88" s="474" t="s">
        <v>145</v>
      </c>
      <c r="I88" s="521" t="s">
        <v>234</v>
      </c>
      <c r="J88" s="507"/>
      <c r="K88" s="471"/>
      <c r="L88" s="892">
        <f>1.02*4810</f>
        <v>4906.2</v>
      </c>
      <c r="M88" s="508">
        <f>L88*1.25</f>
        <v>6132.75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</row>
    <row r="89" spans="1:227" s="75" customFormat="1" ht="43.5" customHeight="1">
      <c r="A89" s="421"/>
      <c r="B89" s="529" t="s">
        <v>881</v>
      </c>
      <c r="C89" s="464" t="s">
        <v>96</v>
      </c>
      <c r="D89" s="616" t="s">
        <v>1511</v>
      </c>
      <c r="E89" s="617" t="s">
        <v>109</v>
      </c>
      <c r="F89" s="467"/>
      <c r="G89" s="593" t="s">
        <v>383</v>
      </c>
      <c r="H89" s="474"/>
      <c r="I89" s="521" t="s">
        <v>151</v>
      </c>
      <c r="J89" s="481" t="s">
        <v>481</v>
      </c>
      <c r="K89" s="471"/>
      <c r="L89" s="892">
        <f>1.02*6440</f>
        <v>6568.8</v>
      </c>
      <c r="M89" s="508">
        <f>L89*1.25</f>
        <v>8211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</row>
    <row r="90" spans="1:227" s="75" customFormat="1" ht="37.5" customHeight="1">
      <c r="A90" s="421"/>
      <c r="B90" s="596" t="s">
        <v>873</v>
      </c>
      <c r="C90" s="490" t="s">
        <v>92</v>
      </c>
      <c r="D90" s="597" t="s">
        <v>739</v>
      </c>
      <c r="E90" s="598" t="s">
        <v>109</v>
      </c>
      <c r="F90" s="525"/>
      <c r="G90" s="599" t="s">
        <v>243</v>
      </c>
      <c r="H90" s="495"/>
      <c r="I90" s="614" t="s">
        <v>161</v>
      </c>
      <c r="J90" s="601" t="s">
        <v>481</v>
      </c>
      <c r="K90" s="601"/>
      <c r="L90" s="892">
        <v>9500</v>
      </c>
      <c r="M90" s="498">
        <f>L90*1.25</f>
        <v>11875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</row>
    <row r="91" spans="1:227" s="4" customFormat="1" ht="39.75" customHeight="1">
      <c r="A91" s="421"/>
      <c r="B91" s="463" t="s">
        <v>882</v>
      </c>
      <c r="C91" s="464" t="s">
        <v>96</v>
      </c>
      <c r="D91" s="465" t="s">
        <v>531</v>
      </c>
      <c r="E91" s="466" t="s">
        <v>532</v>
      </c>
      <c r="F91" s="467"/>
      <c r="G91" s="468" t="s">
        <v>227</v>
      </c>
      <c r="H91" s="474" t="s">
        <v>145</v>
      </c>
      <c r="I91" s="618" t="s">
        <v>148</v>
      </c>
      <c r="J91" s="618"/>
      <c r="K91" s="471"/>
      <c r="L91" s="892">
        <f>1.02*6630</f>
        <v>6762.6</v>
      </c>
      <c r="M91" s="508">
        <f>L91*1.25</f>
        <v>8453.25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</row>
    <row r="92" spans="1:227" s="52" customFormat="1" ht="23.25" customHeight="1">
      <c r="A92" s="421"/>
      <c r="B92" s="499"/>
      <c r="C92" s="515"/>
      <c r="D92" s="500" t="s">
        <v>271</v>
      </c>
      <c r="E92" s="501"/>
      <c r="F92" s="502"/>
      <c r="G92" s="503"/>
      <c r="H92" s="502"/>
      <c r="I92" s="504"/>
      <c r="J92" s="505"/>
      <c r="K92" s="506"/>
      <c r="L92" s="892"/>
      <c r="M92" s="508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</row>
    <row r="93" spans="1:227" s="74" customFormat="1" ht="44.25" customHeight="1">
      <c r="A93" s="421"/>
      <c r="B93" s="463" t="s">
        <v>1327</v>
      </c>
      <c r="C93" s="464" t="s">
        <v>96</v>
      </c>
      <c r="D93" s="465" t="s">
        <v>1512</v>
      </c>
      <c r="E93" s="466" t="s">
        <v>648</v>
      </c>
      <c r="F93" s="483"/>
      <c r="G93" s="468" t="s">
        <v>594</v>
      </c>
      <c r="H93" s="474"/>
      <c r="I93" s="528" t="s">
        <v>148</v>
      </c>
      <c r="J93" s="528" t="s">
        <v>481</v>
      </c>
      <c r="K93" s="471"/>
      <c r="L93" s="892">
        <f>1.02*5170</f>
        <v>5273.4000000000005</v>
      </c>
      <c r="M93" s="508">
        <f t="shared" ref="M93:M99" si="6">L93*1.25</f>
        <v>6591.7500000000009</v>
      </c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2"/>
      <c r="HQ93" s="52"/>
      <c r="HR93" s="52"/>
      <c r="HS93" s="52"/>
    </row>
    <row r="94" spans="1:227" s="52" customFormat="1" ht="44.25" customHeight="1">
      <c r="A94" s="421"/>
      <c r="B94" s="463" t="s">
        <v>1281</v>
      </c>
      <c r="C94" s="464" t="s">
        <v>96</v>
      </c>
      <c r="D94" s="465" t="s">
        <v>1513</v>
      </c>
      <c r="E94" s="466" t="s">
        <v>648</v>
      </c>
      <c r="F94" s="483"/>
      <c r="G94" s="468" t="s">
        <v>594</v>
      </c>
      <c r="H94" s="474"/>
      <c r="I94" s="528" t="s">
        <v>148</v>
      </c>
      <c r="J94" s="528" t="s">
        <v>481</v>
      </c>
      <c r="K94" s="471"/>
      <c r="L94" s="892">
        <f>1.02*5330</f>
        <v>5436.6</v>
      </c>
      <c r="M94" s="508">
        <f t="shared" si="6"/>
        <v>6795.75</v>
      </c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</row>
    <row r="95" spans="1:227" s="52" customFormat="1" ht="44.25" customHeight="1">
      <c r="A95" s="421"/>
      <c r="B95" s="463" t="s">
        <v>883</v>
      </c>
      <c r="C95" s="464" t="s">
        <v>92</v>
      </c>
      <c r="D95" s="465" t="s">
        <v>1514</v>
      </c>
      <c r="E95" s="466" t="s">
        <v>648</v>
      </c>
      <c r="F95" s="483"/>
      <c r="G95" s="468" t="s">
        <v>92</v>
      </c>
      <c r="H95" s="474"/>
      <c r="I95" s="528" t="s">
        <v>653</v>
      </c>
      <c r="J95" s="528" t="s">
        <v>481</v>
      </c>
      <c r="K95" s="471"/>
      <c r="L95" s="892">
        <f>1.02*7080</f>
        <v>7221.6</v>
      </c>
      <c r="M95" s="508">
        <f t="shared" si="6"/>
        <v>9027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2"/>
      <c r="HQ95" s="2"/>
      <c r="HR95" s="2"/>
      <c r="HS95" s="2"/>
    </row>
    <row r="96" spans="1:227" ht="44.25" customHeight="1">
      <c r="A96" s="421"/>
      <c r="B96" s="463" t="s">
        <v>884</v>
      </c>
      <c r="C96" s="464" t="s">
        <v>92</v>
      </c>
      <c r="D96" s="465" t="s">
        <v>1514</v>
      </c>
      <c r="E96" s="466" t="s">
        <v>648</v>
      </c>
      <c r="F96" s="483"/>
      <c r="G96" s="468" t="s">
        <v>92</v>
      </c>
      <c r="H96" s="474"/>
      <c r="I96" s="528" t="s">
        <v>653</v>
      </c>
      <c r="J96" s="528" t="s">
        <v>481</v>
      </c>
      <c r="K96" s="471" t="s">
        <v>7</v>
      </c>
      <c r="L96" s="892">
        <f>1.02*11690</f>
        <v>11923.800000000001</v>
      </c>
      <c r="M96" s="508">
        <f t="shared" si="6"/>
        <v>14904.750000000002</v>
      </c>
      <c r="AJ96" s="2"/>
      <c r="AK96" s="2"/>
      <c r="AL96" s="2"/>
      <c r="AM96" s="2"/>
    </row>
    <row r="97" spans="1:227" ht="44.25" customHeight="1">
      <c r="A97" s="421"/>
      <c r="B97" s="463" t="s">
        <v>885</v>
      </c>
      <c r="C97" s="464" t="s">
        <v>96</v>
      </c>
      <c r="D97" s="465" t="s">
        <v>29</v>
      </c>
      <c r="E97" s="466" t="s">
        <v>25</v>
      </c>
      <c r="F97" s="467"/>
      <c r="G97" s="480" t="s">
        <v>205</v>
      </c>
      <c r="H97" s="619"/>
      <c r="I97" s="475" t="s">
        <v>151</v>
      </c>
      <c r="J97" s="470"/>
      <c r="K97" s="620"/>
      <c r="L97" s="892">
        <f>1.02*6070</f>
        <v>6191.4000000000005</v>
      </c>
      <c r="M97" s="508">
        <f t="shared" si="6"/>
        <v>7739.2500000000009</v>
      </c>
      <c r="AJ97" s="2"/>
      <c r="AK97" s="2"/>
      <c r="AL97" s="2"/>
      <c r="AM97" s="2"/>
      <c r="HP97" s="8"/>
      <c r="HQ97" s="8"/>
      <c r="HR97" s="8"/>
      <c r="HS97" s="8"/>
    </row>
    <row r="98" spans="1:227" s="8" customFormat="1" ht="44.25" customHeight="1">
      <c r="A98" s="421"/>
      <c r="B98" s="463" t="s">
        <v>886</v>
      </c>
      <c r="C98" s="464" t="s">
        <v>96</v>
      </c>
      <c r="D98" s="465" t="s">
        <v>518</v>
      </c>
      <c r="E98" s="466" t="s">
        <v>517</v>
      </c>
      <c r="F98" s="467"/>
      <c r="G98" s="480" t="s">
        <v>519</v>
      </c>
      <c r="H98" s="621" t="s">
        <v>145</v>
      </c>
      <c r="I98" s="481" t="s">
        <v>151</v>
      </c>
      <c r="J98" s="507"/>
      <c r="K98" s="590"/>
      <c r="L98" s="892">
        <f>1.02*7110</f>
        <v>7252.2</v>
      </c>
      <c r="M98" s="508">
        <f t="shared" si="6"/>
        <v>9065.25</v>
      </c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</row>
    <row r="99" spans="1:227" ht="44.25" customHeight="1">
      <c r="A99" s="421"/>
      <c r="B99" s="484" t="s">
        <v>1390</v>
      </c>
      <c r="C99" s="464" t="s">
        <v>96</v>
      </c>
      <c r="D99" s="485" t="s">
        <v>518</v>
      </c>
      <c r="E99" s="486" t="s">
        <v>1392</v>
      </c>
      <c r="F99" s="542" t="s">
        <v>1351</v>
      </c>
      <c r="G99" s="480" t="s">
        <v>519</v>
      </c>
      <c r="H99" s="622"/>
      <c r="I99" s="475" t="s">
        <v>1391</v>
      </c>
      <c r="J99" s="521" t="s">
        <v>481</v>
      </c>
      <c r="K99" s="590"/>
      <c r="L99" s="892">
        <f>1.02*7200</f>
        <v>7344</v>
      </c>
      <c r="M99" s="508">
        <f t="shared" si="6"/>
        <v>9180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</row>
    <row r="100" spans="1:227" ht="44.25" customHeight="1">
      <c r="A100" s="421"/>
      <c r="B100" s="463" t="s">
        <v>608</v>
      </c>
      <c r="C100" s="464" t="s">
        <v>96</v>
      </c>
      <c r="D100" s="465" t="s">
        <v>1515</v>
      </c>
      <c r="E100" s="466" t="s">
        <v>140</v>
      </c>
      <c r="F100" s="623"/>
      <c r="G100" s="468"/>
      <c r="H100" s="474" t="s">
        <v>145</v>
      </c>
      <c r="I100" s="528" t="s">
        <v>607</v>
      </c>
      <c r="J100" s="471"/>
      <c r="K100" s="477"/>
      <c r="L100" s="892">
        <f>1.02*5970</f>
        <v>6089.4000000000005</v>
      </c>
      <c r="M100" s="508">
        <v>7460</v>
      </c>
      <c r="AJ100" s="2"/>
      <c r="AK100" s="2"/>
      <c r="AL100" s="2"/>
      <c r="AM100" s="2"/>
    </row>
    <row r="101" spans="1:227" ht="44.25" customHeight="1">
      <c r="A101" s="421"/>
      <c r="B101" s="484" t="s">
        <v>887</v>
      </c>
      <c r="C101" s="624" t="s">
        <v>96</v>
      </c>
      <c r="D101" s="625" t="s">
        <v>8</v>
      </c>
      <c r="E101" s="486" t="s">
        <v>645</v>
      </c>
      <c r="F101" s="467"/>
      <c r="G101" s="480" t="s">
        <v>183</v>
      </c>
      <c r="H101" s="474" t="s">
        <v>145</v>
      </c>
      <c r="I101" s="528" t="s">
        <v>154</v>
      </c>
      <c r="J101" s="528"/>
      <c r="K101" s="471"/>
      <c r="L101" s="892">
        <f>1.02*5940</f>
        <v>6058.8</v>
      </c>
      <c r="M101" s="508">
        <f t="shared" ref="M101:M125" si="7">L101*1.25</f>
        <v>7573.5</v>
      </c>
      <c r="AJ101" s="2"/>
      <c r="AK101" s="2"/>
      <c r="AL101" s="2"/>
      <c r="AM101" s="2"/>
    </row>
    <row r="102" spans="1:227" ht="44.25" customHeight="1">
      <c r="A102" s="435"/>
      <c r="B102" s="463" t="s">
        <v>1325</v>
      </c>
      <c r="C102" s="464" t="s">
        <v>96</v>
      </c>
      <c r="D102" s="626" t="s">
        <v>1326</v>
      </c>
      <c r="E102" s="627" t="s">
        <v>1229</v>
      </c>
      <c r="F102" s="542" t="s">
        <v>1213</v>
      </c>
      <c r="G102" s="628" t="s">
        <v>569</v>
      </c>
      <c r="H102" s="621" t="s">
        <v>145</v>
      </c>
      <c r="I102" s="528" t="s">
        <v>148</v>
      </c>
      <c r="J102" s="514"/>
      <c r="K102" s="514"/>
      <c r="L102" s="892">
        <f>1.02*4100</f>
        <v>4182</v>
      </c>
      <c r="M102" s="508">
        <f t="shared" si="7"/>
        <v>5227.5</v>
      </c>
      <c r="N102" s="362"/>
      <c r="O102" s="362"/>
      <c r="P102" s="362"/>
      <c r="Q102" s="362"/>
      <c r="R102" s="362"/>
      <c r="S102" s="362"/>
      <c r="T102" s="362"/>
      <c r="U102" s="362"/>
      <c r="V102" s="362"/>
      <c r="W102" s="362"/>
      <c r="X102" s="362"/>
      <c r="Y102" s="362"/>
      <c r="Z102" s="362"/>
      <c r="AA102" s="362"/>
      <c r="AB102" s="362"/>
      <c r="AC102" s="362"/>
      <c r="AD102" s="362"/>
      <c r="AE102" s="362"/>
      <c r="AF102" s="362"/>
      <c r="AG102" s="362"/>
      <c r="AH102" s="362"/>
      <c r="AI102" s="362"/>
      <c r="AJ102" s="362"/>
      <c r="AK102" s="362"/>
      <c r="AL102" s="362"/>
      <c r="AM102" s="362"/>
      <c r="AN102" s="362"/>
      <c r="AO102" s="362"/>
      <c r="AP102" s="362"/>
      <c r="AQ102" s="362"/>
      <c r="AR102" s="362"/>
      <c r="AS102" s="362"/>
      <c r="AT102" s="362"/>
      <c r="AU102" s="362"/>
      <c r="AV102" s="362"/>
      <c r="AW102" s="362"/>
      <c r="AX102" s="362"/>
      <c r="AY102" s="362"/>
      <c r="AZ102" s="362"/>
      <c r="BA102" s="362"/>
      <c r="BB102" s="362"/>
      <c r="BC102" s="362"/>
      <c r="BD102" s="362"/>
      <c r="BE102" s="362"/>
      <c r="BF102" s="362"/>
      <c r="BG102" s="362"/>
      <c r="BH102" s="362"/>
      <c r="BI102" s="362"/>
      <c r="BJ102" s="362"/>
      <c r="BK102" s="362"/>
      <c r="BL102" s="362"/>
      <c r="BM102" s="362"/>
      <c r="BN102" s="362"/>
      <c r="BO102" s="362"/>
      <c r="BP102" s="362"/>
      <c r="BQ102" s="362"/>
      <c r="BR102" s="362"/>
      <c r="BS102" s="362"/>
      <c r="BT102" s="362"/>
      <c r="BU102" s="362"/>
      <c r="BV102" s="362"/>
      <c r="BW102" s="362"/>
      <c r="BX102" s="362"/>
      <c r="BY102" s="362"/>
      <c r="BZ102" s="362"/>
      <c r="CA102" s="362"/>
      <c r="CB102" s="362"/>
      <c r="CC102" s="362"/>
      <c r="CD102" s="362"/>
      <c r="CE102" s="362"/>
      <c r="CF102" s="362"/>
      <c r="CG102" s="362"/>
      <c r="CH102" s="362"/>
      <c r="CI102" s="362"/>
      <c r="CJ102" s="362"/>
      <c r="CK102" s="362"/>
      <c r="CL102" s="362"/>
      <c r="CM102" s="362"/>
      <c r="CN102" s="362"/>
      <c r="CO102" s="362"/>
      <c r="CP102" s="362"/>
      <c r="CQ102" s="362"/>
      <c r="CR102" s="362"/>
      <c r="CS102" s="362"/>
      <c r="CT102" s="362"/>
      <c r="CU102" s="362"/>
      <c r="CV102" s="362"/>
      <c r="CW102" s="362"/>
      <c r="CX102" s="362"/>
      <c r="CY102" s="362"/>
      <c r="CZ102" s="362"/>
      <c r="DA102" s="362"/>
      <c r="DB102" s="362"/>
      <c r="DC102" s="362"/>
      <c r="DD102" s="362"/>
      <c r="DE102" s="362"/>
      <c r="DF102" s="362"/>
      <c r="DG102" s="362"/>
      <c r="DH102" s="362"/>
      <c r="DI102" s="362"/>
      <c r="DJ102" s="362"/>
      <c r="DK102" s="362"/>
      <c r="DL102" s="362"/>
      <c r="DM102" s="362"/>
      <c r="DN102" s="362"/>
      <c r="DO102" s="362"/>
      <c r="DP102" s="362"/>
      <c r="DQ102" s="362"/>
      <c r="DR102" s="362"/>
      <c r="DS102" s="362"/>
      <c r="DT102" s="362"/>
      <c r="DU102" s="362"/>
      <c r="DV102" s="362"/>
      <c r="DW102" s="362"/>
      <c r="DX102" s="362"/>
      <c r="DY102" s="362"/>
      <c r="DZ102" s="362"/>
      <c r="EA102" s="362"/>
      <c r="EB102" s="362"/>
      <c r="EC102" s="362"/>
      <c r="ED102" s="362"/>
      <c r="EE102" s="362"/>
      <c r="EF102" s="362"/>
      <c r="EG102" s="362"/>
      <c r="EH102" s="362"/>
      <c r="EI102" s="362"/>
      <c r="EJ102" s="362"/>
      <c r="EK102" s="362"/>
      <c r="EL102" s="362"/>
      <c r="EM102" s="362"/>
      <c r="EN102" s="362"/>
      <c r="EO102" s="362"/>
      <c r="EP102" s="362"/>
      <c r="EQ102" s="362"/>
      <c r="ER102" s="362"/>
      <c r="ES102" s="362"/>
      <c r="ET102" s="362"/>
      <c r="EU102" s="362"/>
      <c r="EV102" s="362"/>
      <c r="EW102" s="362"/>
      <c r="EX102" s="362"/>
      <c r="EY102" s="362"/>
      <c r="EZ102" s="362"/>
      <c r="FA102" s="362"/>
      <c r="FB102" s="362"/>
      <c r="FC102" s="362"/>
      <c r="FD102" s="362"/>
      <c r="FE102" s="362"/>
      <c r="FF102" s="362"/>
      <c r="FG102" s="362"/>
      <c r="FH102" s="362"/>
      <c r="FI102" s="362"/>
      <c r="FJ102" s="362"/>
      <c r="FK102" s="362"/>
      <c r="FL102" s="362"/>
      <c r="FM102" s="362"/>
      <c r="FN102" s="362"/>
      <c r="FO102" s="362"/>
      <c r="FP102" s="362"/>
      <c r="FQ102" s="362"/>
      <c r="FR102" s="362"/>
      <c r="FS102" s="362"/>
      <c r="FT102" s="362"/>
      <c r="FU102" s="362"/>
      <c r="FV102" s="362"/>
      <c r="FW102" s="362"/>
      <c r="FX102" s="362"/>
      <c r="FY102" s="362"/>
      <c r="FZ102" s="362"/>
      <c r="GA102" s="362"/>
      <c r="GB102" s="362"/>
      <c r="GC102" s="362"/>
      <c r="GD102" s="362"/>
      <c r="GE102" s="362"/>
      <c r="GF102" s="362"/>
      <c r="GG102" s="362"/>
      <c r="GH102" s="362"/>
      <c r="GI102" s="362"/>
      <c r="GJ102" s="362"/>
      <c r="GK102" s="362"/>
      <c r="GL102" s="362"/>
      <c r="GM102" s="362"/>
      <c r="GN102" s="362"/>
      <c r="GO102" s="362"/>
      <c r="GP102" s="362"/>
      <c r="GQ102" s="362"/>
      <c r="GR102" s="362"/>
      <c r="GS102" s="362"/>
      <c r="GT102" s="362"/>
      <c r="GU102" s="362"/>
      <c r="GV102" s="362"/>
      <c r="GW102" s="362"/>
      <c r="GX102" s="362"/>
      <c r="GY102" s="362"/>
      <c r="GZ102" s="362"/>
      <c r="HA102" s="362"/>
      <c r="HB102" s="362"/>
      <c r="HC102" s="362"/>
      <c r="HD102" s="362"/>
      <c r="HE102" s="362"/>
      <c r="HF102" s="362"/>
      <c r="HG102" s="362"/>
      <c r="HH102" s="362"/>
      <c r="HI102" s="362"/>
      <c r="HJ102" s="362"/>
      <c r="HK102" s="362"/>
      <c r="HL102" s="362"/>
      <c r="HM102" s="362"/>
      <c r="HN102" s="362"/>
      <c r="HO102" s="362"/>
      <c r="HP102" s="74"/>
      <c r="HQ102" s="74"/>
      <c r="HR102" s="74"/>
      <c r="HS102" s="74"/>
    </row>
    <row r="103" spans="1:227" ht="44.25" customHeight="1">
      <c r="A103" s="421"/>
      <c r="B103" s="463" t="s">
        <v>888</v>
      </c>
      <c r="C103" s="464" t="s">
        <v>96</v>
      </c>
      <c r="D103" s="465" t="s">
        <v>272</v>
      </c>
      <c r="E103" s="466" t="s">
        <v>120</v>
      </c>
      <c r="F103" s="467"/>
      <c r="G103" s="468" t="s">
        <v>177</v>
      </c>
      <c r="H103" s="479" t="s">
        <v>145</v>
      </c>
      <c r="I103" s="528" t="s">
        <v>152</v>
      </c>
      <c r="J103" s="528"/>
      <c r="K103" s="477"/>
      <c r="L103" s="892">
        <f>1.02*5920</f>
        <v>6038.4000000000005</v>
      </c>
      <c r="M103" s="508">
        <f t="shared" si="7"/>
        <v>7548.0000000000009</v>
      </c>
      <c r="AJ103" s="2"/>
      <c r="AK103" s="2"/>
      <c r="AL103" s="2"/>
      <c r="AM103" s="2"/>
    </row>
    <row r="104" spans="1:227" ht="44.25" customHeight="1">
      <c r="A104" s="421"/>
      <c r="B104" s="463" t="s">
        <v>890</v>
      </c>
      <c r="C104" s="464" t="s">
        <v>96</v>
      </c>
      <c r="D104" s="465" t="s">
        <v>742</v>
      </c>
      <c r="E104" s="466" t="s">
        <v>452</v>
      </c>
      <c r="F104" s="467"/>
      <c r="G104" s="468" t="s">
        <v>184</v>
      </c>
      <c r="H104" s="469"/>
      <c r="I104" s="528" t="s">
        <v>152</v>
      </c>
      <c r="J104" s="528"/>
      <c r="K104" s="477"/>
      <c r="L104" s="892">
        <f>1.02*5050</f>
        <v>5151</v>
      </c>
      <c r="M104" s="508">
        <f t="shared" si="7"/>
        <v>6438.75</v>
      </c>
      <c r="AJ104" s="2"/>
      <c r="AK104" s="2"/>
      <c r="AL104" s="2"/>
      <c r="AM104" s="2"/>
    </row>
    <row r="105" spans="1:227" ht="44.25" customHeight="1">
      <c r="A105" s="421"/>
      <c r="B105" s="489" t="s">
        <v>889</v>
      </c>
      <c r="C105" s="490" t="s">
        <v>96</v>
      </c>
      <c r="D105" s="491" t="s">
        <v>135</v>
      </c>
      <c r="E105" s="492" t="s">
        <v>452</v>
      </c>
      <c r="F105" s="525"/>
      <c r="G105" s="494" t="s">
        <v>185</v>
      </c>
      <c r="H105" s="600" t="s">
        <v>145</v>
      </c>
      <c r="I105" s="496" t="s">
        <v>234</v>
      </c>
      <c r="J105" s="496"/>
      <c r="K105" s="601"/>
      <c r="L105" s="892">
        <v>6470</v>
      </c>
      <c r="M105" s="498">
        <f t="shared" si="7"/>
        <v>8087.5</v>
      </c>
      <c r="AJ105" s="2"/>
      <c r="AK105" s="2"/>
      <c r="AL105" s="2"/>
      <c r="AM105" s="2"/>
    </row>
    <row r="106" spans="1:227" ht="121.5" customHeight="1">
      <c r="A106" s="421"/>
      <c r="B106" s="463" t="s">
        <v>891</v>
      </c>
      <c r="C106" s="464" t="s">
        <v>96</v>
      </c>
      <c r="D106" s="465" t="s">
        <v>1278</v>
      </c>
      <c r="E106" s="466" t="s">
        <v>435</v>
      </c>
      <c r="F106" s="467"/>
      <c r="G106" s="480" t="s">
        <v>445</v>
      </c>
      <c r="H106" s="621" t="s">
        <v>145</v>
      </c>
      <c r="I106" s="481" t="s">
        <v>446</v>
      </c>
      <c r="J106" s="507" t="s">
        <v>481</v>
      </c>
      <c r="K106" s="590"/>
      <c r="L106" s="892">
        <f>1.02*5980</f>
        <v>6099.6</v>
      </c>
      <c r="M106" s="508">
        <f t="shared" si="7"/>
        <v>7624.5</v>
      </c>
      <c r="AJ106" s="2"/>
      <c r="AK106" s="2"/>
      <c r="AL106" s="2"/>
      <c r="AM106" s="2"/>
    </row>
    <row r="107" spans="1:227" ht="44.25" customHeight="1">
      <c r="A107" s="421"/>
      <c r="B107" s="463" t="s">
        <v>892</v>
      </c>
      <c r="C107" s="464" t="s">
        <v>96</v>
      </c>
      <c r="D107" s="465" t="s">
        <v>740</v>
      </c>
      <c r="E107" s="466" t="s">
        <v>435</v>
      </c>
      <c r="F107" s="467"/>
      <c r="G107" s="480" t="s">
        <v>201</v>
      </c>
      <c r="H107" s="621"/>
      <c r="I107" s="481" t="s">
        <v>446</v>
      </c>
      <c r="J107" s="507"/>
      <c r="K107" s="590"/>
      <c r="L107" s="892">
        <f>1.02*5730</f>
        <v>5844.6</v>
      </c>
      <c r="M107" s="508">
        <f t="shared" si="7"/>
        <v>7305.75</v>
      </c>
      <c r="AJ107" s="2"/>
      <c r="AK107" s="2"/>
      <c r="AL107" s="2"/>
      <c r="AM107" s="2"/>
    </row>
    <row r="108" spans="1:227" ht="44.25" customHeight="1">
      <c r="A108" s="421"/>
      <c r="B108" s="484" t="s">
        <v>893</v>
      </c>
      <c r="C108" s="464" t="s">
        <v>96</v>
      </c>
      <c r="D108" s="485" t="s">
        <v>741</v>
      </c>
      <c r="E108" s="486" t="s">
        <v>522</v>
      </c>
      <c r="F108" s="467"/>
      <c r="G108" s="480" t="s">
        <v>523</v>
      </c>
      <c r="H108" s="621" t="s">
        <v>145</v>
      </c>
      <c r="I108" s="481" t="s">
        <v>148</v>
      </c>
      <c r="J108" s="507"/>
      <c r="K108" s="590"/>
      <c r="L108" s="892">
        <f>1.02*5850</f>
        <v>5967</v>
      </c>
      <c r="M108" s="508">
        <f t="shared" si="7"/>
        <v>7458.75</v>
      </c>
      <c r="AJ108" s="2"/>
      <c r="AK108" s="2"/>
      <c r="AL108" s="2"/>
      <c r="AM108" s="2"/>
    </row>
    <row r="109" spans="1:227" ht="40.5" customHeight="1">
      <c r="A109" s="421"/>
      <c r="B109" s="463" t="s">
        <v>894</v>
      </c>
      <c r="C109" s="464" t="s">
        <v>96</v>
      </c>
      <c r="D109" s="465" t="s">
        <v>1419</v>
      </c>
      <c r="E109" s="466" t="s">
        <v>119</v>
      </c>
      <c r="F109" s="467"/>
      <c r="G109" s="468" t="s">
        <v>181</v>
      </c>
      <c r="H109" s="474" t="s">
        <v>145</v>
      </c>
      <c r="I109" s="528" t="s">
        <v>151</v>
      </c>
      <c r="J109" s="528"/>
      <c r="K109" s="471"/>
      <c r="L109" s="892">
        <f>1.02*6420</f>
        <v>6548.4000000000005</v>
      </c>
      <c r="M109" s="508">
        <f t="shared" si="7"/>
        <v>8185.5000000000009</v>
      </c>
      <c r="AJ109" s="2"/>
      <c r="AK109" s="2"/>
      <c r="AL109" s="2"/>
      <c r="AM109" s="2"/>
    </row>
    <row r="110" spans="1:227" ht="44.25" customHeight="1">
      <c r="A110" s="421"/>
      <c r="B110" s="484" t="s">
        <v>895</v>
      </c>
      <c r="C110" s="624" t="s">
        <v>96</v>
      </c>
      <c r="D110" s="625" t="s">
        <v>1516</v>
      </c>
      <c r="E110" s="486" t="s">
        <v>109</v>
      </c>
      <c r="F110" s="467"/>
      <c r="G110" s="480" t="s">
        <v>187</v>
      </c>
      <c r="H110" s="479" t="s">
        <v>145</v>
      </c>
      <c r="I110" s="481" t="s">
        <v>151</v>
      </c>
      <c r="J110" s="481" t="s">
        <v>481</v>
      </c>
      <c r="K110" s="482"/>
      <c r="L110" s="892">
        <f>1.02*5720</f>
        <v>5834.4000000000005</v>
      </c>
      <c r="M110" s="508">
        <f t="shared" si="7"/>
        <v>7293.0000000000009</v>
      </c>
      <c r="AJ110" s="2"/>
      <c r="AK110" s="2"/>
      <c r="AL110" s="2"/>
      <c r="AM110" s="2"/>
    </row>
    <row r="111" spans="1:227" ht="44.25" customHeight="1">
      <c r="A111" s="421"/>
      <c r="B111" s="463" t="s">
        <v>896</v>
      </c>
      <c r="C111" s="464" t="s">
        <v>96</v>
      </c>
      <c r="D111" s="465" t="s">
        <v>1517</v>
      </c>
      <c r="E111" s="466" t="s">
        <v>559</v>
      </c>
      <c r="F111" s="467"/>
      <c r="G111" s="480" t="s">
        <v>242</v>
      </c>
      <c r="H111" s="595"/>
      <c r="I111" s="481" t="s">
        <v>241</v>
      </c>
      <c r="J111" s="481" t="s">
        <v>481</v>
      </c>
      <c r="K111" s="477"/>
      <c r="L111" s="892">
        <f>1.02*6080</f>
        <v>6201.6</v>
      </c>
      <c r="M111" s="508">
        <f t="shared" si="7"/>
        <v>7752</v>
      </c>
      <c r="AJ111" s="2"/>
      <c r="AK111" s="2"/>
      <c r="AL111" s="2"/>
      <c r="AM111" s="2"/>
    </row>
    <row r="112" spans="1:227" ht="60.75" customHeight="1">
      <c r="A112" s="421"/>
      <c r="B112" s="463" t="s">
        <v>897</v>
      </c>
      <c r="C112" s="464" t="s">
        <v>96</v>
      </c>
      <c r="D112" s="465" t="s">
        <v>1518</v>
      </c>
      <c r="E112" s="466" t="s">
        <v>549</v>
      </c>
      <c r="F112" s="483"/>
      <c r="G112" s="473" t="s">
        <v>573</v>
      </c>
      <c r="H112" s="474"/>
      <c r="I112" s="475" t="s">
        <v>161</v>
      </c>
      <c r="J112" s="481" t="s">
        <v>481</v>
      </c>
      <c r="K112" s="477"/>
      <c r="L112" s="892">
        <f>1.02*5850</f>
        <v>5967</v>
      </c>
      <c r="M112" s="508">
        <f t="shared" si="7"/>
        <v>7458.75</v>
      </c>
      <c r="AJ112" s="2"/>
      <c r="AK112" s="2"/>
      <c r="AL112" s="2"/>
      <c r="AM112" s="2"/>
    </row>
    <row r="113" spans="1:223" ht="44.25" customHeight="1">
      <c r="A113" s="421"/>
      <c r="B113" s="463" t="s">
        <v>898</v>
      </c>
      <c r="C113" s="464" t="s">
        <v>96</v>
      </c>
      <c r="D113" s="465" t="s">
        <v>294</v>
      </c>
      <c r="E113" s="466" t="s">
        <v>30</v>
      </c>
      <c r="F113" s="467"/>
      <c r="G113" s="560" t="s">
        <v>188</v>
      </c>
      <c r="H113" s="474" t="s">
        <v>145</v>
      </c>
      <c r="I113" s="618" t="s">
        <v>157</v>
      </c>
      <c r="J113" s="528"/>
      <c r="K113" s="471"/>
      <c r="L113" s="892">
        <f>1.02*6890</f>
        <v>7027.8</v>
      </c>
      <c r="M113" s="508">
        <f t="shared" si="7"/>
        <v>8784.75</v>
      </c>
      <c r="AJ113" s="2"/>
      <c r="AK113" s="2"/>
      <c r="AL113" s="2"/>
      <c r="AM113" s="2"/>
    </row>
    <row r="114" spans="1:223" ht="44.25" customHeight="1">
      <c r="A114" s="421"/>
      <c r="B114" s="484" t="s">
        <v>899</v>
      </c>
      <c r="C114" s="624" t="s">
        <v>96</v>
      </c>
      <c r="D114" s="625" t="s">
        <v>273</v>
      </c>
      <c r="E114" s="486" t="s">
        <v>484</v>
      </c>
      <c r="F114" s="467"/>
      <c r="G114" s="480" t="s">
        <v>186</v>
      </c>
      <c r="H114" s="474" t="s">
        <v>145</v>
      </c>
      <c r="I114" s="618" t="s">
        <v>151</v>
      </c>
      <c r="J114" s="528"/>
      <c r="K114" s="471"/>
      <c r="L114" s="892">
        <f>1.02*7160</f>
        <v>7303.2</v>
      </c>
      <c r="M114" s="508">
        <f t="shared" si="7"/>
        <v>9129</v>
      </c>
      <c r="AJ114" s="2"/>
      <c r="AK114" s="2"/>
      <c r="AL114" s="2"/>
      <c r="AM114" s="2"/>
    </row>
    <row r="115" spans="1:223" ht="44.25" customHeight="1">
      <c r="A115" s="421"/>
      <c r="B115" s="463" t="s">
        <v>900</v>
      </c>
      <c r="C115" s="464" t="s">
        <v>96</v>
      </c>
      <c r="D115" s="465" t="s">
        <v>1519</v>
      </c>
      <c r="E115" s="466" t="s">
        <v>1280</v>
      </c>
      <c r="F115" s="467"/>
      <c r="G115" s="480" t="s">
        <v>192</v>
      </c>
      <c r="H115" s="619"/>
      <c r="I115" s="475" t="s">
        <v>155</v>
      </c>
      <c r="J115" s="481" t="s">
        <v>481</v>
      </c>
      <c r="K115" s="590"/>
      <c r="L115" s="892">
        <f>1.02*5230</f>
        <v>5334.6</v>
      </c>
      <c r="M115" s="508">
        <f t="shared" si="7"/>
        <v>6668.25</v>
      </c>
      <c r="AJ115" s="2"/>
      <c r="AK115" s="2"/>
      <c r="AL115" s="2"/>
      <c r="AM115" s="2"/>
    </row>
    <row r="116" spans="1:223" ht="61.5" customHeight="1">
      <c r="A116" s="421"/>
      <c r="B116" s="463" t="s">
        <v>903</v>
      </c>
      <c r="C116" s="464" t="s">
        <v>92</v>
      </c>
      <c r="D116" s="465" t="s">
        <v>1520</v>
      </c>
      <c r="E116" s="466" t="s">
        <v>435</v>
      </c>
      <c r="F116" s="467"/>
      <c r="G116" s="480" t="s">
        <v>243</v>
      </c>
      <c r="H116" s="464"/>
      <c r="I116" s="475" t="s">
        <v>159</v>
      </c>
      <c r="J116" s="507" t="s">
        <v>481</v>
      </c>
      <c r="K116" s="477"/>
      <c r="L116" s="892">
        <f>1.02*7640</f>
        <v>7792.8</v>
      </c>
      <c r="M116" s="508">
        <f t="shared" si="7"/>
        <v>9741</v>
      </c>
      <c r="AJ116" s="2"/>
      <c r="AK116" s="2"/>
      <c r="AL116" s="2"/>
      <c r="AM116" s="2"/>
    </row>
    <row r="117" spans="1:223" ht="44.25" customHeight="1">
      <c r="A117" s="421"/>
      <c r="B117" s="489" t="s">
        <v>901</v>
      </c>
      <c r="C117" s="490" t="s">
        <v>92</v>
      </c>
      <c r="D117" s="491" t="s">
        <v>80</v>
      </c>
      <c r="E117" s="492" t="s">
        <v>81</v>
      </c>
      <c r="F117" s="525"/>
      <c r="G117" s="494" t="s">
        <v>243</v>
      </c>
      <c r="H117" s="525"/>
      <c r="I117" s="496" t="s">
        <v>239</v>
      </c>
      <c r="J117" s="496"/>
      <c r="K117" s="497"/>
      <c r="L117" s="892">
        <v>9300</v>
      </c>
      <c r="M117" s="498">
        <f t="shared" si="7"/>
        <v>11625</v>
      </c>
      <c r="AJ117" s="2"/>
      <c r="AK117" s="2"/>
      <c r="AL117" s="2"/>
      <c r="AM117" s="2"/>
    </row>
    <row r="118" spans="1:223" ht="44.25" customHeight="1">
      <c r="A118" s="421"/>
      <c r="B118" s="489" t="s">
        <v>902</v>
      </c>
      <c r="C118" s="490" t="s">
        <v>92</v>
      </c>
      <c r="D118" s="491" t="s">
        <v>79</v>
      </c>
      <c r="E118" s="492" t="s">
        <v>496</v>
      </c>
      <c r="F118" s="525"/>
      <c r="G118" s="494" t="s">
        <v>243</v>
      </c>
      <c r="H118" s="629"/>
      <c r="I118" s="630" t="s">
        <v>161</v>
      </c>
      <c r="J118" s="630"/>
      <c r="K118" s="497"/>
      <c r="L118" s="892">
        <v>8250</v>
      </c>
      <c r="M118" s="498">
        <f t="shared" si="7"/>
        <v>10312.5</v>
      </c>
      <c r="AJ118" s="2"/>
      <c r="AK118" s="2"/>
      <c r="AL118" s="2"/>
      <c r="AM118" s="2"/>
    </row>
    <row r="119" spans="1:223" ht="54" customHeight="1">
      <c r="A119" s="421"/>
      <c r="B119" s="463" t="s">
        <v>904</v>
      </c>
      <c r="C119" s="464" t="s">
        <v>92</v>
      </c>
      <c r="D119" s="465" t="s">
        <v>1521</v>
      </c>
      <c r="E119" s="466" t="s">
        <v>437</v>
      </c>
      <c r="F119" s="467"/>
      <c r="G119" s="480" t="s">
        <v>243</v>
      </c>
      <c r="H119" s="526"/>
      <c r="I119" s="481" t="s">
        <v>161</v>
      </c>
      <c r="J119" s="507" t="s">
        <v>481</v>
      </c>
      <c r="K119" s="477"/>
      <c r="L119" s="892">
        <f>1.02*7700</f>
        <v>7854</v>
      </c>
      <c r="M119" s="508">
        <f t="shared" si="7"/>
        <v>9817.5</v>
      </c>
      <c r="AJ119" s="2"/>
      <c r="AK119" s="2"/>
      <c r="AL119" s="2"/>
      <c r="AM119" s="2"/>
    </row>
    <row r="120" spans="1:223" ht="44.25" customHeight="1">
      <c r="A120" s="421"/>
      <c r="B120" s="463" t="s">
        <v>905</v>
      </c>
      <c r="C120" s="464" t="s">
        <v>96</v>
      </c>
      <c r="D120" s="465" t="s">
        <v>1522</v>
      </c>
      <c r="E120" s="466" t="s">
        <v>109</v>
      </c>
      <c r="F120" s="467"/>
      <c r="G120" s="480" t="s">
        <v>240</v>
      </c>
      <c r="H120" s="474" t="s">
        <v>145</v>
      </c>
      <c r="I120" s="475" t="s">
        <v>155</v>
      </c>
      <c r="J120" s="475" t="s">
        <v>481</v>
      </c>
      <c r="K120" s="477"/>
      <c r="L120" s="892">
        <f>1.02*5750</f>
        <v>5865</v>
      </c>
      <c r="M120" s="508">
        <f t="shared" si="7"/>
        <v>7331.25</v>
      </c>
      <c r="AJ120" s="2"/>
      <c r="AK120" s="2"/>
      <c r="AL120" s="2"/>
      <c r="AM120" s="2"/>
    </row>
    <row r="121" spans="1:223" ht="44.25" customHeight="1">
      <c r="A121" s="421"/>
      <c r="B121" s="463" t="s">
        <v>906</v>
      </c>
      <c r="C121" s="464" t="s">
        <v>96</v>
      </c>
      <c r="D121" s="465" t="s">
        <v>9</v>
      </c>
      <c r="E121" s="466" t="s">
        <v>89</v>
      </c>
      <c r="F121" s="467"/>
      <c r="G121" s="480" t="s">
        <v>383</v>
      </c>
      <c r="H121" s="619"/>
      <c r="I121" s="475" t="s">
        <v>155</v>
      </c>
      <c r="J121" s="475"/>
      <c r="K121" s="477"/>
      <c r="L121" s="892">
        <f>1.02*6120</f>
        <v>6242.4000000000005</v>
      </c>
      <c r="M121" s="508">
        <f t="shared" si="7"/>
        <v>7803.0000000000009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</row>
    <row r="122" spans="1:223" ht="44.25" customHeight="1">
      <c r="A122" s="421"/>
      <c r="B122" s="463" t="s">
        <v>907</v>
      </c>
      <c r="C122" s="464" t="s">
        <v>96</v>
      </c>
      <c r="D122" s="465" t="s">
        <v>1523</v>
      </c>
      <c r="E122" s="466" t="s">
        <v>648</v>
      </c>
      <c r="F122" s="483"/>
      <c r="G122" s="468" t="s">
        <v>569</v>
      </c>
      <c r="H122" s="474"/>
      <c r="I122" s="618" t="s">
        <v>151</v>
      </c>
      <c r="J122" s="618" t="s">
        <v>481</v>
      </c>
      <c r="K122" s="471"/>
      <c r="L122" s="892">
        <f>1.02*5880</f>
        <v>5997.6</v>
      </c>
      <c r="M122" s="508">
        <f t="shared" si="7"/>
        <v>7497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</row>
    <row r="123" spans="1:223" ht="44.25" customHeight="1">
      <c r="A123" s="421"/>
      <c r="B123" s="463" t="s">
        <v>908</v>
      </c>
      <c r="C123" s="464" t="s">
        <v>92</v>
      </c>
      <c r="D123" s="465" t="s">
        <v>1524</v>
      </c>
      <c r="E123" s="466" t="s">
        <v>437</v>
      </c>
      <c r="F123" s="467"/>
      <c r="G123" s="480" t="s">
        <v>243</v>
      </c>
      <c r="H123" s="622"/>
      <c r="I123" s="475" t="s">
        <v>159</v>
      </c>
      <c r="J123" s="521"/>
      <c r="K123" s="590"/>
      <c r="L123" s="892">
        <f>1.02*6510</f>
        <v>6640.2</v>
      </c>
      <c r="M123" s="508">
        <f t="shared" si="7"/>
        <v>8300.25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</row>
    <row r="124" spans="1:223" ht="44.25" customHeight="1">
      <c r="A124" s="421"/>
      <c r="B124" s="489" t="s">
        <v>909</v>
      </c>
      <c r="C124" s="490" t="s">
        <v>92</v>
      </c>
      <c r="D124" s="491" t="s">
        <v>1260</v>
      </c>
      <c r="E124" s="492" t="s">
        <v>1258</v>
      </c>
      <c r="F124" s="525"/>
      <c r="G124" s="494" t="s">
        <v>243</v>
      </c>
      <c r="H124" s="631"/>
      <c r="I124" s="630" t="s">
        <v>248</v>
      </c>
      <c r="J124" s="614"/>
      <c r="K124" s="632"/>
      <c r="L124" s="892">
        <v>7650</v>
      </c>
      <c r="M124" s="498">
        <f t="shared" si="7"/>
        <v>9562.5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</row>
    <row r="125" spans="1:223" ht="44.25" customHeight="1">
      <c r="A125" s="421"/>
      <c r="B125" s="489" t="s">
        <v>1195</v>
      </c>
      <c r="C125" s="490" t="s">
        <v>92</v>
      </c>
      <c r="D125" s="491" t="s">
        <v>1525</v>
      </c>
      <c r="E125" s="492" t="s">
        <v>1258</v>
      </c>
      <c r="F125" s="525"/>
      <c r="G125" s="494" t="s">
        <v>243</v>
      </c>
      <c r="H125" s="631"/>
      <c r="I125" s="630" t="s">
        <v>160</v>
      </c>
      <c r="J125" s="614"/>
      <c r="K125" s="632"/>
      <c r="L125" s="892">
        <v>6100</v>
      </c>
      <c r="M125" s="498">
        <f t="shared" si="7"/>
        <v>7625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</row>
    <row r="126" spans="1:223" ht="44.25" customHeight="1">
      <c r="A126" s="421"/>
      <c r="B126" s="463" t="s">
        <v>1259</v>
      </c>
      <c r="C126" s="464" t="s">
        <v>92</v>
      </c>
      <c r="D126" s="485" t="s">
        <v>1526</v>
      </c>
      <c r="E126" s="466" t="s">
        <v>648</v>
      </c>
      <c r="F126" s="542" t="s">
        <v>1213</v>
      </c>
      <c r="G126" s="480" t="s">
        <v>243</v>
      </c>
      <c r="H126" s="622"/>
      <c r="I126" s="475" t="s">
        <v>802</v>
      </c>
      <c r="J126" s="521" t="s">
        <v>481</v>
      </c>
      <c r="K126" s="590"/>
      <c r="L126" s="892">
        <f>1.02*9260</f>
        <v>9445.2000000000007</v>
      </c>
      <c r="M126" s="508">
        <v>7425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</row>
    <row r="127" spans="1:223" ht="22.5" customHeight="1">
      <c r="A127" s="421"/>
      <c r="B127" s="536"/>
      <c r="C127" s="537"/>
      <c r="D127" s="538" t="s">
        <v>378</v>
      </c>
      <c r="E127" s="539"/>
      <c r="F127" s="540"/>
      <c r="G127" s="541"/>
      <c r="H127" s="633"/>
      <c r="I127" s="634"/>
      <c r="J127" s="634"/>
      <c r="K127" s="635"/>
      <c r="L127" s="892"/>
      <c r="M127" s="50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</row>
    <row r="128" spans="1:223" ht="22.5" customHeight="1">
      <c r="A128" s="421"/>
      <c r="B128" s="463" t="s">
        <v>910</v>
      </c>
      <c r="C128" s="464" t="s">
        <v>96</v>
      </c>
      <c r="D128" s="465" t="s">
        <v>1527</v>
      </c>
      <c r="E128" s="466" t="s">
        <v>437</v>
      </c>
      <c r="F128" s="467"/>
      <c r="G128" s="468" t="s">
        <v>537</v>
      </c>
      <c r="H128" s="474" t="s">
        <v>145</v>
      </c>
      <c r="I128" s="618" t="s">
        <v>148</v>
      </c>
      <c r="J128" s="470"/>
      <c r="K128" s="471"/>
      <c r="L128" s="892">
        <f>1.02*4360</f>
        <v>4447.2</v>
      </c>
      <c r="M128" s="508">
        <f t="shared" ref="M128:M133" si="8">L128*1.25</f>
        <v>5559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</row>
    <row r="129" spans="1:223" ht="23.25">
      <c r="A129" s="421"/>
      <c r="B129" s="489" t="s">
        <v>911</v>
      </c>
      <c r="C129" s="490" t="s">
        <v>92</v>
      </c>
      <c r="D129" s="491" t="s">
        <v>1528</v>
      </c>
      <c r="E129" s="492" t="s">
        <v>1409</v>
      </c>
      <c r="F129" s="525"/>
      <c r="G129" s="494" t="s">
        <v>92</v>
      </c>
      <c r="H129" s="495"/>
      <c r="I129" s="630" t="s">
        <v>151</v>
      </c>
      <c r="J129" s="614" t="s">
        <v>481</v>
      </c>
      <c r="K129" s="601"/>
      <c r="L129" s="892">
        <v>6700</v>
      </c>
      <c r="M129" s="498">
        <f t="shared" si="8"/>
        <v>8375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</row>
    <row r="130" spans="1:223" ht="22.5" customHeight="1">
      <c r="A130" s="421"/>
      <c r="B130" s="463" t="s">
        <v>1408</v>
      </c>
      <c r="C130" s="464" t="s">
        <v>92</v>
      </c>
      <c r="D130" s="465" t="s">
        <v>1528</v>
      </c>
      <c r="E130" s="466" t="s">
        <v>1360</v>
      </c>
      <c r="F130" s="483"/>
      <c r="G130" s="468" t="s">
        <v>92</v>
      </c>
      <c r="H130" s="474"/>
      <c r="I130" s="618" t="s">
        <v>151</v>
      </c>
      <c r="J130" s="470" t="s">
        <v>481</v>
      </c>
      <c r="K130" s="471"/>
      <c r="L130" s="892">
        <f>1.02*6500</f>
        <v>6630</v>
      </c>
      <c r="M130" s="508">
        <f t="shared" si="8"/>
        <v>8287.5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</row>
    <row r="131" spans="1:223" ht="22.5" customHeight="1">
      <c r="A131" s="421"/>
      <c r="B131" s="463" t="s">
        <v>913</v>
      </c>
      <c r="C131" s="464" t="s">
        <v>96</v>
      </c>
      <c r="D131" s="465" t="s">
        <v>1239</v>
      </c>
      <c r="E131" s="466" t="s">
        <v>648</v>
      </c>
      <c r="F131" s="483"/>
      <c r="G131" s="468" t="s">
        <v>218</v>
      </c>
      <c r="H131" s="474"/>
      <c r="I131" s="618" t="s">
        <v>149</v>
      </c>
      <c r="J131" s="470"/>
      <c r="K131" s="471"/>
      <c r="L131" s="892">
        <f>1.02*4000</f>
        <v>4080</v>
      </c>
      <c r="M131" s="508">
        <f t="shared" si="8"/>
        <v>5100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</row>
    <row r="132" spans="1:223" ht="22.5" customHeight="1">
      <c r="A132" s="421"/>
      <c r="B132" s="463" t="s">
        <v>912</v>
      </c>
      <c r="C132" s="464" t="s">
        <v>96</v>
      </c>
      <c r="D132" s="465" t="s">
        <v>1529</v>
      </c>
      <c r="E132" s="466" t="s">
        <v>109</v>
      </c>
      <c r="F132" s="467"/>
      <c r="G132" s="468" t="s">
        <v>218</v>
      </c>
      <c r="H132" s="474"/>
      <c r="I132" s="618" t="s">
        <v>150</v>
      </c>
      <c r="J132" s="470"/>
      <c r="K132" s="471"/>
      <c r="L132" s="892">
        <f>1.02*4100</f>
        <v>4182</v>
      </c>
      <c r="M132" s="508">
        <f t="shared" si="8"/>
        <v>5227.5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</row>
    <row r="133" spans="1:223" ht="22.5" customHeight="1">
      <c r="A133" s="421"/>
      <c r="B133" s="463" t="s">
        <v>913</v>
      </c>
      <c r="C133" s="464" t="s">
        <v>96</v>
      </c>
      <c r="D133" s="465" t="s">
        <v>379</v>
      </c>
      <c r="E133" s="466" t="s">
        <v>109</v>
      </c>
      <c r="F133" s="467"/>
      <c r="G133" s="468" t="s">
        <v>218</v>
      </c>
      <c r="H133" s="474"/>
      <c r="I133" s="618" t="s">
        <v>149</v>
      </c>
      <c r="J133" s="618"/>
      <c r="K133" s="471"/>
      <c r="L133" s="892">
        <f>1.02*4000</f>
        <v>4080</v>
      </c>
      <c r="M133" s="508">
        <f t="shared" si="8"/>
        <v>5100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</row>
    <row r="134" spans="1:223" s="52" customFormat="1" ht="23.25" customHeight="1">
      <c r="A134" s="421"/>
      <c r="B134" s="536"/>
      <c r="C134" s="537"/>
      <c r="D134" s="516" t="s">
        <v>274</v>
      </c>
      <c r="E134" s="636"/>
      <c r="F134" s="607"/>
      <c r="G134" s="503"/>
      <c r="H134" s="607"/>
      <c r="I134" s="504"/>
      <c r="J134" s="504"/>
      <c r="K134" s="519"/>
      <c r="L134" s="892"/>
      <c r="M134" s="508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223" s="74" customFormat="1" ht="30.75" customHeight="1">
      <c r="A135" s="421"/>
      <c r="B135" s="463" t="s">
        <v>914</v>
      </c>
      <c r="C135" s="464" t="s">
        <v>96</v>
      </c>
      <c r="D135" s="465" t="s">
        <v>275</v>
      </c>
      <c r="E135" s="637" t="s">
        <v>43</v>
      </c>
      <c r="F135" s="467"/>
      <c r="G135" s="468" t="s">
        <v>186</v>
      </c>
      <c r="H135" s="467"/>
      <c r="I135" s="528" t="s">
        <v>151</v>
      </c>
      <c r="J135" s="528"/>
      <c r="K135" s="638"/>
      <c r="L135" s="892">
        <f>1.02*6880</f>
        <v>7017.6</v>
      </c>
      <c r="M135" s="508">
        <f t="shared" ref="M135:M141" si="9">L135*1.25</f>
        <v>8772</v>
      </c>
    </row>
    <row r="136" spans="1:223" ht="30.75" customHeight="1">
      <c r="A136" s="421"/>
      <c r="B136" s="463" t="s">
        <v>915</v>
      </c>
      <c r="C136" s="464" t="s">
        <v>96</v>
      </c>
      <c r="D136" s="465" t="s">
        <v>659</v>
      </c>
      <c r="E136" s="473" t="s">
        <v>660</v>
      </c>
      <c r="F136" s="467"/>
      <c r="G136" s="468" t="s">
        <v>186</v>
      </c>
      <c r="H136" s="467"/>
      <c r="I136" s="481" t="s">
        <v>151</v>
      </c>
      <c r="J136" s="481"/>
      <c r="K136" s="638"/>
      <c r="L136" s="892">
        <f>1.02*6740</f>
        <v>6874.8</v>
      </c>
      <c r="M136" s="508">
        <f t="shared" si="9"/>
        <v>8593.5</v>
      </c>
      <c r="AJ136" s="2"/>
      <c r="AK136" s="2"/>
      <c r="AL136" s="2"/>
      <c r="AM136" s="2"/>
    </row>
    <row r="137" spans="1:223" ht="26.25" customHeight="1">
      <c r="A137" s="421"/>
      <c r="B137" s="463" t="s">
        <v>916</v>
      </c>
      <c r="C137" s="464" t="s">
        <v>96</v>
      </c>
      <c r="D137" s="465" t="s">
        <v>1530</v>
      </c>
      <c r="E137" s="473" t="s">
        <v>549</v>
      </c>
      <c r="F137" s="483"/>
      <c r="G137" s="468" t="s">
        <v>647</v>
      </c>
      <c r="H137" s="526"/>
      <c r="I137" s="481" t="s">
        <v>151</v>
      </c>
      <c r="J137" s="507" t="s">
        <v>481</v>
      </c>
      <c r="K137" s="638"/>
      <c r="L137" s="892">
        <f>1.02*7010</f>
        <v>7150.2</v>
      </c>
      <c r="M137" s="508">
        <f t="shared" si="9"/>
        <v>8937.75</v>
      </c>
      <c r="AJ137" s="2"/>
      <c r="AK137" s="2"/>
      <c r="AL137" s="2"/>
      <c r="AM137" s="2"/>
    </row>
    <row r="138" spans="1:223" ht="24" customHeight="1">
      <c r="A138" s="421"/>
      <c r="B138" s="463" t="s">
        <v>917</v>
      </c>
      <c r="C138" s="464" t="s">
        <v>96</v>
      </c>
      <c r="D138" s="465" t="s">
        <v>1531</v>
      </c>
      <c r="E138" s="473" t="s">
        <v>549</v>
      </c>
      <c r="F138" s="483"/>
      <c r="G138" s="468" t="s">
        <v>593</v>
      </c>
      <c r="H138" s="526"/>
      <c r="I138" s="481" t="s">
        <v>148</v>
      </c>
      <c r="J138" s="507"/>
      <c r="K138" s="638"/>
      <c r="L138" s="892">
        <f>1.02*6740</f>
        <v>6874.8</v>
      </c>
      <c r="M138" s="508">
        <f t="shared" si="9"/>
        <v>8593.5</v>
      </c>
      <c r="AJ138" s="2"/>
      <c r="AK138" s="2"/>
      <c r="AL138" s="2"/>
      <c r="AM138" s="2"/>
    </row>
    <row r="139" spans="1:223" ht="23.25" customHeight="1">
      <c r="A139" s="421"/>
      <c r="B139" s="463" t="s">
        <v>918</v>
      </c>
      <c r="C139" s="464" t="s">
        <v>96</v>
      </c>
      <c r="D139" s="465" t="s">
        <v>1532</v>
      </c>
      <c r="E139" s="473" t="s">
        <v>549</v>
      </c>
      <c r="F139" s="483"/>
      <c r="G139" s="468"/>
      <c r="H139" s="526"/>
      <c r="I139" s="481"/>
      <c r="J139" s="507"/>
      <c r="K139" s="638"/>
      <c r="L139" s="892">
        <f>1.02*6740</f>
        <v>6874.8</v>
      </c>
      <c r="M139" s="508">
        <f t="shared" si="9"/>
        <v>8593.5</v>
      </c>
      <c r="AJ139" s="2"/>
      <c r="AK139" s="2"/>
      <c r="AL139" s="2"/>
      <c r="AM139" s="2"/>
    </row>
    <row r="140" spans="1:223" ht="23.25" customHeight="1">
      <c r="A140" s="421"/>
      <c r="B140" s="463" t="s">
        <v>919</v>
      </c>
      <c r="C140" s="464" t="s">
        <v>96</v>
      </c>
      <c r="D140" s="639" t="s">
        <v>276</v>
      </c>
      <c r="E140" s="640" t="s">
        <v>99</v>
      </c>
      <c r="F140" s="467"/>
      <c r="G140" s="513" t="s">
        <v>189</v>
      </c>
      <c r="H140" s="467"/>
      <c r="I140" s="528" t="s">
        <v>151</v>
      </c>
      <c r="J140" s="528"/>
      <c r="K140" s="638"/>
      <c r="L140" s="892">
        <f>1.02*6740</f>
        <v>6874.8</v>
      </c>
      <c r="M140" s="508">
        <f t="shared" si="9"/>
        <v>8593.5</v>
      </c>
      <c r="AJ140" s="2"/>
      <c r="AK140" s="2"/>
      <c r="AL140" s="2"/>
      <c r="AM140" s="2"/>
    </row>
    <row r="141" spans="1:223" ht="23.25" customHeight="1">
      <c r="A141" s="421"/>
      <c r="B141" s="463" t="s">
        <v>920</v>
      </c>
      <c r="C141" s="464" t="s">
        <v>92</v>
      </c>
      <c r="D141" s="465" t="s">
        <v>1533</v>
      </c>
      <c r="E141" s="473" t="s">
        <v>549</v>
      </c>
      <c r="F141" s="483"/>
      <c r="G141" s="468" t="s">
        <v>243</v>
      </c>
      <c r="H141" s="526"/>
      <c r="I141" s="481" t="s">
        <v>247</v>
      </c>
      <c r="J141" s="507"/>
      <c r="K141" s="638"/>
      <c r="L141" s="892">
        <f>1.02*5510</f>
        <v>5620.2</v>
      </c>
      <c r="M141" s="508">
        <f t="shared" si="9"/>
        <v>7025.25</v>
      </c>
      <c r="AJ141" s="2"/>
      <c r="AK141" s="2"/>
      <c r="AL141" s="2"/>
      <c r="AM141" s="2"/>
    </row>
    <row r="142" spans="1:223" ht="23.25" customHeight="1">
      <c r="A142" s="421"/>
      <c r="B142" s="536"/>
      <c r="C142" s="537"/>
      <c r="D142" s="538" t="s">
        <v>655</v>
      </c>
      <c r="E142" s="641"/>
      <c r="F142" s="540"/>
      <c r="G142" s="541"/>
      <c r="H142" s="642"/>
      <c r="I142" s="643"/>
      <c r="J142" s="635"/>
      <c r="K142" s="644"/>
      <c r="L142" s="892"/>
      <c r="M142" s="508"/>
      <c r="AJ142" s="2"/>
      <c r="AK142" s="2"/>
      <c r="AL142" s="2"/>
      <c r="AM142" s="2"/>
    </row>
    <row r="143" spans="1:223" ht="23.25" customHeight="1">
      <c r="A143" s="421"/>
      <c r="B143" s="463" t="s">
        <v>921</v>
      </c>
      <c r="C143" s="464" t="s">
        <v>96</v>
      </c>
      <c r="D143" s="465" t="s">
        <v>1534</v>
      </c>
      <c r="E143" s="473" t="s">
        <v>648</v>
      </c>
      <c r="F143" s="483"/>
      <c r="G143" s="468" t="s">
        <v>524</v>
      </c>
      <c r="H143" s="526"/>
      <c r="I143" s="481" t="s">
        <v>151</v>
      </c>
      <c r="J143" s="507"/>
      <c r="K143" s="638"/>
      <c r="L143" s="892">
        <f>1.02*6730</f>
        <v>6864.6</v>
      </c>
      <c r="M143" s="508">
        <f>L143*1.25</f>
        <v>8580.75</v>
      </c>
      <c r="AJ143" s="2"/>
      <c r="AK143" s="2"/>
      <c r="AL143" s="2"/>
      <c r="AM143" s="2"/>
    </row>
    <row r="144" spans="1:223" s="52" customFormat="1" ht="27" customHeight="1">
      <c r="A144" s="421"/>
      <c r="B144" s="499"/>
      <c r="C144" s="515"/>
      <c r="D144" s="500" t="s">
        <v>277</v>
      </c>
      <c r="E144" s="501"/>
      <c r="F144" s="502"/>
      <c r="G144" s="503"/>
      <c r="H144" s="502"/>
      <c r="I144" s="504"/>
      <c r="J144" s="505"/>
      <c r="K144" s="506"/>
      <c r="L144" s="892"/>
      <c r="M144" s="508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227" ht="22.5" customHeight="1">
      <c r="A145" s="421"/>
      <c r="B145" s="463" t="s">
        <v>922</v>
      </c>
      <c r="C145" s="464" t="s">
        <v>96</v>
      </c>
      <c r="D145" s="465" t="s">
        <v>278</v>
      </c>
      <c r="E145" s="466" t="s">
        <v>121</v>
      </c>
      <c r="F145" s="467"/>
      <c r="G145" s="468" t="s">
        <v>190</v>
      </c>
      <c r="H145" s="474" t="s">
        <v>145</v>
      </c>
      <c r="I145" s="618" t="s">
        <v>151</v>
      </c>
      <c r="J145" s="618"/>
      <c r="K145" s="471"/>
      <c r="L145" s="892">
        <f>1.02*6190</f>
        <v>6313.8</v>
      </c>
      <c r="M145" s="508">
        <f>L145*1.25</f>
        <v>7892.25</v>
      </c>
      <c r="AJ145" s="2"/>
      <c r="AK145" s="2"/>
      <c r="AL145" s="2"/>
      <c r="AM145" s="2"/>
    </row>
    <row r="146" spans="1:227" ht="23.25" customHeight="1">
      <c r="A146" s="421"/>
      <c r="B146" s="463" t="s">
        <v>923</v>
      </c>
      <c r="C146" s="464" t="s">
        <v>96</v>
      </c>
      <c r="D146" s="465" t="s">
        <v>278</v>
      </c>
      <c r="E146" s="466" t="s">
        <v>68</v>
      </c>
      <c r="F146" s="467"/>
      <c r="G146" s="468" t="s">
        <v>168</v>
      </c>
      <c r="H146" s="469"/>
      <c r="I146" s="618" t="s">
        <v>396</v>
      </c>
      <c r="J146" s="618"/>
      <c r="K146" s="477"/>
      <c r="L146" s="892">
        <f>1.02*7410</f>
        <v>7558.2</v>
      </c>
      <c r="M146" s="508">
        <f>L146*1.25</f>
        <v>9447.75</v>
      </c>
      <c r="AJ146" s="2"/>
      <c r="AK146" s="2"/>
      <c r="AL146" s="2"/>
      <c r="AM146" s="2"/>
    </row>
    <row r="147" spans="1:227" ht="22.5" customHeight="1">
      <c r="A147" s="421"/>
      <c r="B147" s="463" t="s">
        <v>924</v>
      </c>
      <c r="C147" s="464" t="s">
        <v>96</v>
      </c>
      <c r="D147" s="465" t="s">
        <v>278</v>
      </c>
      <c r="E147" s="466" t="s">
        <v>541</v>
      </c>
      <c r="F147" s="467"/>
      <c r="G147" s="468" t="s">
        <v>192</v>
      </c>
      <c r="H147" s="479" t="s">
        <v>145</v>
      </c>
      <c r="I147" s="528" t="s">
        <v>151</v>
      </c>
      <c r="J147" s="528"/>
      <c r="K147" s="471"/>
      <c r="L147" s="892">
        <f>1.02*7440</f>
        <v>7588.8</v>
      </c>
      <c r="M147" s="508">
        <f>L147*1.25</f>
        <v>9486</v>
      </c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</row>
    <row r="148" spans="1:227" s="6" customFormat="1" ht="22.5" customHeight="1">
      <c r="A148" s="435"/>
      <c r="B148" s="463" t="s">
        <v>925</v>
      </c>
      <c r="C148" s="464" t="s">
        <v>96</v>
      </c>
      <c r="D148" s="645" t="s">
        <v>1535</v>
      </c>
      <c r="E148" s="466" t="s">
        <v>437</v>
      </c>
      <c r="F148" s="483"/>
      <c r="G148" s="468" t="s">
        <v>546</v>
      </c>
      <c r="H148" s="474" t="s">
        <v>145</v>
      </c>
      <c r="I148" s="618" t="s">
        <v>151</v>
      </c>
      <c r="J148" s="618" t="s">
        <v>481</v>
      </c>
      <c r="K148" s="471"/>
      <c r="L148" s="892">
        <f>1.02*7440</f>
        <v>7588.8</v>
      </c>
      <c r="M148" s="508">
        <f>L148*1.25</f>
        <v>9486</v>
      </c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  <c r="BI148" s="202"/>
      <c r="BJ148" s="202"/>
      <c r="BK148" s="202"/>
      <c r="BL148" s="202"/>
      <c r="BM148" s="202"/>
      <c r="BN148" s="202"/>
      <c r="BO148" s="202"/>
      <c r="BP148" s="202"/>
      <c r="BQ148" s="202"/>
      <c r="BR148" s="202"/>
      <c r="BS148" s="202"/>
      <c r="BT148" s="202"/>
      <c r="BU148" s="202"/>
      <c r="BV148" s="202"/>
      <c r="BW148" s="202"/>
      <c r="BX148" s="202"/>
      <c r="BY148" s="202"/>
      <c r="BZ148" s="202"/>
      <c r="CA148" s="202"/>
      <c r="CB148" s="202"/>
      <c r="CC148" s="202"/>
      <c r="CD148" s="202"/>
      <c r="CE148" s="202"/>
      <c r="CF148" s="202"/>
      <c r="CG148" s="202"/>
      <c r="CH148" s="202"/>
      <c r="CI148" s="202"/>
      <c r="CJ148" s="202"/>
      <c r="CK148" s="202"/>
      <c r="CL148" s="202"/>
      <c r="CM148" s="202"/>
      <c r="CN148" s="202"/>
      <c r="CO148" s="202"/>
      <c r="CP148" s="202"/>
      <c r="CQ148" s="202"/>
      <c r="CR148" s="202"/>
      <c r="CS148" s="202"/>
      <c r="CT148" s="202"/>
      <c r="CU148" s="202"/>
      <c r="CV148" s="202"/>
      <c r="CW148" s="202"/>
      <c r="CX148" s="202"/>
      <c r="CY148" s="202"/>
      <c r="CZ148" s="202"/>
      <c r="DA148" s="202"/>
      <c r="DB148" s="202"/>
      <c r="DC148" s="202"/>
      <c r="DD148" s="202"/>
      <c r="DE148" s="202"/>
      <c r="DF148" s="202"/>
      <c r="DG148" s="202"/>
      <c r="DH148" s="202"/>
      <c r="DI148" s="202"/>
      <c r="DJ148" s="202"/>
      <c r="DK148" s="202"/>
      <c r="DL148" s="202"/>
      <c r="DM148" s="202"/>
      <c r="DN148" s="202"/>
      <c r="DO148" s="202"/>
      <c r="DP148" s="202"/>
      <c r="DQ148" s="202"/>
      <c r="DR148" s="202"/>
      <c r="DS148" s="202"/>
      <c r="DT148" s="202"/>
      <c r="DU148" s="202"/>
      <c r="DV148" s="202"/>
      <c r="DW148" s="202"/>
      <c r="DX148" s="202"/>
      <c r="DY148" s="202"/>
      <c r="DZ148" s="202"/>
      <c r="EA148" s="202"/>
      <c r="EB148" s="202"/>
      <c r="EC148" s="202"/>
      <c r="ED148" s="202"/>
      <c r="EE148" s="202"/>
      <c r="EF148" s="202"/>
      <c r="EG148" s="202"/>
      <c r="EH148" s="202"/>
      <c r="EI148" s="202"/>
      <c r="EJ148" s="202"/>
      <c r="EK148" s="202"/>
      <c r="EL148" s="202"/>
      <c r="EM148" s="202"/>
      <c r="EN148" s="202"/>
      <c r="EO148" s="202"/>
      <c r="EP148" s="202"/>
      <c r="EQ148" s="202"/>
      <c r="ER148" s="202"/>
      <c r="ES148" s="202"/>
      <c r="ET148" s="202"/>
      <c r="EU148" s="202"/>
      <c r="EV148" s="202"/>
      <c r="EW148" s="202"/>
      <c r="EX148" s="202"/>
      <c r="EY148" s="202"/>
      <c r="EZ148" s="202"/>
      <c r="FA148" s="202"/>
      <c r="FB148" s="202"/>
      <c r="FC148" s="202"/>
      <c r="FD148" s="202"/>
      <c r="FE148" s="202"/>
      <c r="FF148" s="202"/>
      <c r="FG148" s="202"/>
      <c r="FH148" s="202"/>
      <c r="FI148" s="202"/>
      <c r="FJ148" s="202"/>
      <c r="FK148" s="202"/>
      <c r="FL148" s="202"/>
      <c r="FM148" s="202"/>
      <c r="FN148" s="202"/>
      <c r="FO148" s="202"/>
      <c r="FP148" s="202"/>
      <c r="FQ148" s="202"/>
      <c r="FR148" s="202"/>
      <c r="FS148" s="202"/>
      <c r="FT148" s="202"/>
      <c r="FU148" s="202"/>
      <c r="FV148" s="202"/>
      <c r="FW148" s="202"/>
      <c r="FX148" s="202"/>
      <c r="FY148" s="202"/>
      <c r="FZ148" s="202"/>
      <c r="GA148" s="202"/>
      <c r="GB148" s="202"/>
      <c r="GC148" s="202"/>
      <c r="GD148" s="202"/>
      <c r="GE148" s="202"/>
      <c r="GF148" s="202"/>
      <c r="GG148" s="202"/>
      <c r="GH148" s="202"/>
      <c r="GI148" s="202"/>
      <c r="GJ148" s="202"/>
      <c r="GK148" s="202"/>
      <c r="GL148" s="202"/>
      <c r="GM148" s="202"/>
      <c r="GN148" s="202"/>
      <c r="GO148" s="202"/>
      <c r="GP148" s="202"/>
      <c r="GQ148" s="202"/>
      <c r="GR148" s="202"/>
      <c r="GS148" s="202"/>
      <c r="GT148" s="202"/>
      <c r="GU148" s="202"/>
      <c r="GV148" s="202"/>
      <c r="GW148" s="202"/>
      <c r="GX148" s="202"/>
      <c r="GY148" s="202"/>
      <c r="GZ148" s="202"/>
      <c r="HA148" s="202"/>
      <c r="HB148" s="202"/>
      <c r="HC148" s="202"/>
      <c r="HD148" s="202"/>
      <c r="HE148" s="202"/>
      <c r="HF148" s="202"/>
      <c r="HG148" s="202"/>
      <c r="HH148" s="202"/>
      <c r="HI148" s="202"/>
      <c r="HJ148" s="202"/>
      <c r="HK148" s="202"/>
      <c r="HL148" s="202"/>
      <c r="HM148" s="202"/>
      <c r="HN148" s="202"/>
      <c r="HO148" s="202"/>
    </row>
    <row r="149" spans="1:227" ht="23.25">
      <c r="A149" s="421"/>
      <c r="B149" s="489" t="s">
        <v>926</v>
      </c>
      <c r="C149" s="490" t="s">
        <v>96</v>
      </c>
      <c r="D149" s="491" t="s">
        <v>279</v>
      </c>
      <c r="E149" s="492" t="s">
        <v>453</v>
      </c>
      <c r="F149" s="525"/>
      <c r="G149" s="494" t="s">
        <v>191</v>
      </c>
      <c r="H149" s="495" t="s">
        <v>145</v>
      </c>
      <c r="I149" s="630" t="s">
        <v>148</v>
      </c>
      <c r="J149" s="630"/>
      <c r="K149" s="601"/>
      <c r="L149" s="892">
        <v>6250</v>
      </c>
      <c r="M149" s="498">
        <f>L149*1.25</f>
        <v>7812.5</v>
      </c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</row>
    <row r="150" spans="1:227" s="52" customFormat="1" ht="23.25" customHeight="1">
      <c r="A150" s="421"/>
      <c r="B150" s="499"/>
      <c r="C150" s="515"/>
      <c r="D150" s="500" t="s">
        <v>280</v>
      </c>
      <c r="E150" s="501"/>
      <c r="F150" s="502"/>
      <c r="G150" s="503"/>
      <c r="H150" s="502"/>
      <c r="I150" s="504"/>
      <c r="J150" s="505"/>
      <c r="K150" s="506"/>
      <c r="L150" s="892"/>
      <c r="M150" s="508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4"/>
      <c r="GF150" s="54"/>
      <c r="GG150" s="54"/>
      <c r="GH150" s="54"/>
      <c r="GI150" s="54"/>
      <c r="GJ150" s="54"/>
      <c r="GK150" s="54"/>
      <c r="GL150" s="54"/>
      <c r="GM150" s="54"/>
      <c r="GN150" s="54"/>
      <c r="GO150" s="54"/>
      <c r="GP150" s="54"/>
      <c r="GQ150" s="54"/>
      <c r="GR150" s="54"/>
      <c r="GS150" s="54"/>
      <c r="GT150" s="54"/>
      <c r="GU150" s="54"/>
      <c r="GV150" s="54"/>
      <c r="GW150" s="54"/>
      <c r="GX150" s="54"/>
      <c r="GY150" s="54"/>
      <c r="GZ150" s="54"/>
      <c r="HA150" s="54"/>
      <c r="HB150" s="54"/>
      <c r="HC150" s="54"/>
      <c r="HD150" s="54"/>
      <c r="HE150" s="54"/>
      <c r="HF150" s="54"/>
      <c r="HG150" s="54"/>
      <c r="HH150" s="54"/>
      <c r="HI150" s="54"/>
      <c r="HJ150" s="54"/>
      <c r="HK150" s="54"/>
      <c r="HL150" s="54"/>
      <c r="HM150" s="54"/>
      <c r="HN150" s="54"/>
      <c r="HO150" s="54"/>
    </row>
    <row r="151" spans="1:227" ht="23.25" customHeight="1">
      <c r="A151" s="421"/>
      <c r="B151" s="463" t="s">
        <v>938</v>
      </c>
      <c r="C151" s="464" t="s">
        <v>96</v>
      </c>
      <c r="D151" s="465" t="s">
        <v>86</v>
      </c>
      <c r="E151" s="466" t="s">
        <v>368</v>
      </c>
      <c r="F151" s="467"/>
      <c r="G151" s="480" t="s">
        <v>197</v>
      </c>
      <c r="H151" s="467"/>
      <c r="I151" s="481" t="s">
        <v>151</v>
      </c>
      <c r="J151" s="481"/>
      <c r="K151" s="477"/>
      <c r="L151" s="892">
        <f>1.02*7030</f>
        <v>7170.6</v>
      </c>
      <c r="M151" s="508">
        <f t="shared" ref="M151:M179" si="10">L151*1.25</f>
        <v>8963.25</v>
      </c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15"/>
      <c r="HQ151" s="15"/>
      <c r="HR151" s="15"/>
      <c r="HS151" s="15"/>
    </row>
    <row r="152" spans="1:227" ht="22.5" customHeight="1">
      <c r="A152" s="421"/>
      <c r="B152" s="463" t="s">
        <v>939</v>
      </c>
      <c r="C152" s="464" t="s">
        <v>96</v>
      </c>
      <c r="D152" s="465" t="s">
        <v>743</v>
      </c>
      <c r="E152" s="466" t="s">
        <v>27</v>
      </c>
      <c r="F152" s="467"/>
      <c r="G152" s="480" t="s">
        <v>181</v>
      </c>
      <c r="H152" s="646" t="s">
        <v>145</v>
      </c>
      <c r="I152" s="475" t="s">
        <v>151</v>
      </c>
      <c r="J152" s="475"/>
      <c r="K152" s="477"/>
      <c r="L152" s="892">
        <f>1.02*7440</f>
        <v>7588.8</v>
      </c>
      <c r="M152" s="508">
        <f t="shared" si="10"/>
        <v>9486</v>
      </c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15"/>
      <c r="HQ152" s="15"/>
      <c r="HR152" s="15"/>
      <c r="HS152" s="15"/>
    </row>
    <row r="153" spans="1:227" ht="23.25" customHeight="1">
      <c r="A153" s="421"/>
      <c r="B153" s="484" t="s">
        <v>927</v>
      </c>
      <c r="C153" s="624" t="s">
        <v>96</v>
      </c>
      <c r="D153" s="625" t="s">
        <v>69</v>
      </c>
      <c r="E153" s="486" t="s">
        <v>1183</v>
      </c>
      <c r="F153" s="467"/>
      <c r="G153" s="480" t="s">
        <v>193</v>
      </c>
      <c r="H153" s="619"/>
      <c r="I153" s="481" t="s">
        <v>152</v>
      </c>
      <c r="J153" s="481"/>
      <c r="K153" s="482"/>
      <c r="L153" s="892">
        <f>1.02*4010</f>
        <v>4090.2000000000003</v>
      </c>
      <c r="M153" s="508">
        <f t="shared" si="10"/>
        <v>5112.75</v>
      </c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</row>
    <row r="154" spans="1:227" s="8" customFormat="1" ht="45" customHeight="1">
      <c r="A154" s="421"/>
      <c r="B154" s="463" t="s">
        <v>930</v>
      </c>
      <c r="C154" s="464" t="s">
        <v>96</v>
      </c>
      <c r="D154" s="465" t="s">
        <v>1536</v>
      </c>
      <c r="E154" s="466" t="s">
        <v>648</v>
      </c>
      <c r="F154" s="483"/>
      <c r="G154" s="480" t="s">
        <v>576</v>
      </c>
      <c r="H154" s="474" t="s">
        <v>145</v>
      </c>
      <c r="I154" s="647" t="s">
        <v>654</v>
      </c>
      <c r="J154" s="507" t="s">
        <v>481</v>
      </c>
      <c r="K154" s="477"/>
      <c r="L154" s="892">
        <f>1.02*5160</f>
        <v>5263.2</v>
      </c>
      <c r="M154" s="508">
        <f t="shared" si="10"/>
        <v>6579</v>
      </c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</row>
    <row r="155" spans="1:227" s="8" customFormat="1" ht="32.25" customHeight="1">
      <c r="A155" s="421"/>
      <c r="B155" s="463" t="s">
        <v>928</v>
      </c>
      <c r="C155" s="464" t="s">
        <v>96</v>
      </c>
      <c r="D155" s="465" t="s">
        <v>412</v>
      </c>
      <c r="E155" s="466" t="s">
        <v>411</v>
      </c>
      <c r="F155" s="467"/>
      <c r="G155" s="468" t="s">
        <v>197</v>
      </c>
      <c r="H155" s="474" t="s">
        <v>145</v>
      </c>
      <c r="I155" s="618" t="s">
        <v>158</v>
      </c>
      <c r="J155" s="618"/>
      <c r="K155" s="471"/>
      <c r="L155" s="892">
        <f>1.02*5240</f>
        <v>5344.8</v>
      </c>
      <c r="M155" s="508">
        <f t="shared" si="10"/>
        <v>6681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2"/>
      <c r="HQ155" s="2"/>
      <c r="HR155" s="2"/>
      <c r="HS155" s="2"/>
    </row>
    <row r="156" spans="1:227" s="8" customFormat="1" ht="22.5" customHeight="1">
      <c r="A156" s="421"/>
      <c r="B156" s="463" t="s">
        <v>929</v>
      </c>
      <c r="C156" s="464" t="s">
        <v>96</v>
      </c>
      <c r="D156" s="465" t="s">
        <v>534</v>
      </c>
      <c r="E156" s="466" t="s">
        <v>510</v>
      </c>
      <c r="F156" s="467"/>
      <c r="G156" s="480" t="s">
        <v>230</v>
      </c>
      <c r="H156" s="646" t="s">
        <v>145</v>
      </c>
      <c r="I156" s="475" t="s">
        <v>149</v>
      </c>
      <c r="J156" s="475"/>
      <c r="K156" s="471"/>
      <c r="L156" s="892">
        <f>1.02*5930</f>
        <v>6048.6</v>
      </c>
      <c r="M156" s="508">
        <f t="shared" si="10"/>
        <v>7560.75</v>
      </c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HP156" s="2"/>
      <c r="HQ156" s="2"/>
      <c r="HR156" s="2"/>
      <c r="HS156" s="2"/>
    </row>
    <row r="157" spans="1:227" s="11" customFormat="1" ht="28.5" customHeight="1">
      <c r="A157" s="421"/>
      <c r="B157" s="463" t="s">
        <v>931</v>
      </c>
      <c r="C157" s="464" t="s">
        <v>96</v>
      </c>
      <c r="D157" s="465" t="s">
        <v>281</v>
      </c>
      <c r="E157" s="466" t="s">
        <v>122</v>
      </c>
      <c r="F157" s="467"/>
      <c r="G157" s="468" t="s">
        <v>180</v>
      </c>
      <c r="H157" s="474" t="s">
        <v>145</v>
      </c>
      <c r="I157" s="618" t="s">
        <v>237</v>
      </c>
      <c r="J157" s="618"/>
      <c r="K157" s="471"/>
      <c r="L157" s="892">
        <f>1.02*4830</f>
        <v>4926.6000000000004</v>
      </c>
      <c r="M157" s="508">
        <f t="shared" si="10"/>
        <v>6158.25</v>
      </c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</row>
    <row r="158" spans="1:227" s="15" customFormat="1" ht="29.25" customHeight="1">
      <c r="A158" s="421"/>
      <c r="B158" s="463" t="s">
        <v>932</v>
      </c>
      <c r="C158" s="464" t="s">
        <v>96</v>
      </c>
      <c r="D158" s="465" t="s">
        <v>281</v>
      </c>
      <c r="E158" s="466" t="s">
        <v>455</v>
      </c>
      <c r="F158" s="467"/>
      <c r="G158" s="480" t="s">
        <v>216</v>
      </c>
      <c r="H158" s="646" t="s">
        <v>145</v>
      </c>
      <c r="I158" s="475" t="s">
        <v>149</v>
      </c>
      <c r="J158" s="475"/>
      <c r="K158" s="471"/>
      <c r="L158" s="892">
        <f>1.02*5530</f>
        <v>5640.6</v>
      </c>
      <c r="M158" s="508">
        <f t="shared" si="10"/>
        <v>7050.75</v>
      </c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8"/>
      <c r="HQ158" s="8"/>
      <c r="HR158" s="8"/>
      <c r="HS158" s="8"/>
    </row>
    <row r="159" spans="1:227" s="15" customFormat="1" ht="30" customHeight="1">
      <c r="A159" s="421"/>
      <c r="B159" s="648" t="s">
        <v>933</v>
      </c>
      <c r="C159" s="649" t="s">
        <v>96</v>
      </c>
      <c r="D159" s="650" t="s">
        <v>42</v>
      </c>
      <c r="E159" s="651" t="s">
        <v>28</v>
      </c>
      <c r="F159" s="652" t="s">
        <v>32</v>
      </c>
      <c r="G159" s="653" t="s">
        <v>183</v>
      </c>
      <c r="H159" s="654"/>
      <c r="I159" s="655" t="s">
        <v>151</v>
      </c>
      <c r="J159" s="655"/>
      <c r="K159" s="656"/>
      <c r="L159" s="892">
        <f>1.02*5220</f>
        <v>5324.4000000000005</v>
      </c>
      <c r="M159" s="508">
        <f t="shared" si="10"/>
        <v>6655.5000000000009</v>
      </c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</row>
    <row r="160" spans="1:227" s="15" customFormat="1" ht="36" customHeight="1">
      <c r="A160" s="421"/>
      <c r="B160" s="489" t="s">
        <v>934</v>
      </c>
      <c r="C160" s="490" t="s">
        <v>96</v>
      </c>
      <c r="D160" s="491" t="s">
        <v>1537</v>
      </c>
      <c r="E160" s="492" t="s">
        <v>527</v>
      </c>
      <c r="F160" s="525"/>
      <c r="G160" s="494" t="s">
        <v>529</v>
      </c>
      <c r="H160" s="657" t="s">
        <v>145</v>
      </c>
      <c r="I160" s="658" t="s">
        <v>530</v>
      </c>
      <c r="J160" s="601" t="s">
        <v>481</v>
      </c>
      <c r="K160" s="497"/>
      <c r="L160" s="892">
        <v>7100</v>
      </c>
      <c r="M160" s="498">
        <f t="shared" si="10"/>
        <v>8875</v>
      </c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</row>
    <row r="161" spans="1:223" s="15" customFormat="1" ht="35.25" customHeight="1">
      <c r="A161" s="421"/>
      <c r="B161" s="648" t="s">
        <v>935</v>
      </c>
      <c r="C161" s="649" t="s">
        <v>96</v>
      </c>
      <c r="D161" s="650" t="s">
        <v>26</v>
      </c>
      <c r="E161" s="651" t="s">
        <v>586</v>
      </c>
      <c r="F161" s="652" t="s">
        <v>32</v>
      </c>
      <c r="G161" s="653" t="s">
        <v>182</v>
      </c>
      <c r="H161" s="659"/>
      <c r="I161" s="660" t="s">
        <v>149</v>
      </c>
      <c r="J161" s="660"/>
      <c r="K161" s="656"/>
      <c r="L161" s="892">
        <f>1.02*3560</f>
        <v>3631.2000000000003</v>
      </c>
      <c r="M161" s="508">
        <f t="shared" si="10"/>
        <v>4539</v>
      </c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</row>
    <row r="162" spans="1:223" s="15" customFormat="1" ht="35.25" customHeight="1">
      <c r="A162" s="421"/>
      <c r="B162" s="463" t="s">
        <v>936</v>
      </c>
      <c r="C162" s="464" t="s">
        <v>96</v>
      </c>
      <c r="D162" s="465" t="s">
        <v>71</v>
      </c>
      <c r="E162" s="466" t="s">
        <v>510</v>
      </c>
      <c r="F162" s="467"/>
      <c r="G162" s="480" t="s">
        <v>204</v>
      </c>
      <c r="H162" s="661" t="s">
        <v>145</v>
      </c>
      <c r="I162" s="481" t="s">
        <v>148</v>
      </c>
      <c r="J162" s="481"/>
      <c r="K162" s="477"/>
      <c r="L162" s="892">
        <f>1.02*5930</f>
        <v>6048.6</v>
      </c>
      <c r="M162" s="508">
        <f t="shared" si="10"/>
        <v>7560.75</v>
      </c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</row>
    <row r="163" spans="1:223" s="15" customFormat="1" ht="42" customHeight="1">
      <c r="A163" s="421"/>
      <c r="B163" s="463" t="s">
        <v>937</v>
      </c>
      <c r="C163" s="464" t="s">
        <v>96</v>
      </c>
      <c r="D163" s="465" t="s">
        <v>1538</v>
      </c>
      <c r="E163" s="466" t="s">
        <v>437</v>
      </c>
      <c r="F163" s="483"/>
      <c r="G163" s="468" t="s">
        <v>540</v>
      </c>
      <c r="H163" s="661" t="s">
        <v>145</v>
      </c>
      <c r="I163" s="528" t="s">
        <v>151</v>
      </c>
      <c r="J163" s="507" t="s">
        <v>481</v>
      </c>
      <c r="K163" s="471"/>
      <c r="L163" s="892">
        <f>1.02*5160</f>
        <v>5263.2</v>
      </c>
      <c r="M163" s="508">
        <f t="shared" si="10"/>
        <v>6579</v>
      </c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</row>
    <row r="164" spans="1:223" s="15" customFormat="1" ht="63" customHeight="1">
      <c r="A164" s="421"/>
      <c r="B164" s="463" t="s">
        <v>1241</v>
      </c>
      <c r="C164" s="464" t="s">
        <v>96</v>
      </c>
      <c r="D164" s="465" t="s">
        <v>1539</v>
      </c>
      <c r="E164" s="466" t="s">
        <v>437</v>
      </c>
      <c r="F164" s="483"/>
      <c r="G164" s="468" t="s">
        <v>572</v>
      </c>
      <c r="H164" s="661" t="s">
        <v>145</v>
      </c>
      <c r="I164" s="528" t="s">
        <v>151</v>
      </c>
      <c r="J164" s="507" t="s">
        <v>481</v>
      </c>
      <c r="K164" s="471"/>
      <c r="L164" s="892">
        <f>1.02*4320</f>
        <v>4406.3999999999996</v>
      </c>
      <c r="M164" s="508">
        <f t="shared" si="10"/>
        <v>5508</v>
      </c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</row>
    <row r="165" spans="1:223" s="15" customFormat="1" ht="23.25" customHeight="1">
      <c r="A165" s="421"/>
      <c r="B165" s="463" t="s">
        <v>940</v>
      </c>
      <c r="C165" s="464" t="s">
        <v>96</v>
      </c>
      <c r="D165" s="465" t="s">
        <v>744</v>
      </c>
      <c r="E165" s="466" t="s">
        <v>109</v>
      </c>
      <c r="F165" s="467"/>
      <c r="G165" s="662" t="s">
        <v>168</v>
      </c>
      <c r="H165" s="553"/>
      <c r="I165" s="663" t="s">
        <v>163</v>
      </c>
      <c r="J165" s="481"/>
      <c r="K165" s="477"/>
      <c r="L165" s="892">
        <f>1.02*5830</f>
        <v>5946.6</v>
      </c>
      <c r="M165" s="508">
        <f t="shared" si="10"/>
        <v>7433.25</v>
      </c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</row>
    <row r="166" spans="1:223" s="15" customFormat="1" ht="23.25" customHeight="1">
      <c r="A166" s="421"/>
      <c r="B166" s="463" t="s">
        <v>941</v>
      </c>
      <c r="C166" s="464" t="s">
        <v>96</v>
      </c>
      <c r="D166" s="465" t="s">
        <v>10</v>
      </c>
      <c r="E166" s="466" t="s">
        <v>585</v>
      </c>
      <c r="F166" s="467"/>
      <c r="G166" s="662" t="s">
        <v>187</v>
      </c>
      <c r="H166" s="619"/>
      <c r="I166" s="663" t="s">
        <v>155</v>
      </c>
      <c r="J166" s="481"/>
      <c r="K166" s="477"/>
      <c r="L166" s="892">
        <f>1.02*5780</f>
        <v>5895.6</v>
      </c>
      <c r="M166" s="508">
        <f t="shared" si="10"/>
        <v>7369.5</v>
      </c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</row>
    <row r="167" spans="1:223" s="15" customFormat="1" ht="23.25" customHeight="1">
      <c r="A167" s="421"/>
      <c r="B167" s="463" t="s">
        <v>942</v>
      </c>
      <c r="C167" s="464" t="s">
        <v>96</v>
      </c>
      <c r="D167" s="465" t="s">
        <v>473</v>
      </c>
      <c r="E167" s="466" t="s">
        <v>140</v>
      </c>
      <c r="F167" s="467"/>
      <c r="G167" s="662" t="s">
        <v>199</v>
      </c>
      <c r="H167" s="469"/>
      <c r="I167" s="663" t="s">
        <v>163</v>
      </c>
      <c r="J167" s="481"/>
      <c r="K167" s="477"/>
      <c r="L167" s="892">
        <f>1.02*5820</f>
        <v>5936.4000000000005</v>
      </c>
      <c r="M167" s="508">
        <f t="shared" si="10"/>
        <v>7420.5000000000009</v>
      </c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</row>
    <row r="168" spans="1:223" s="15" customFormat="1" ht="36" customHeight="1">
      <c r="A168" s="421"/>
      <c r="B168" s="463" t="s">
        <v>944</v>
      </c>
      <c r="C168" s="464" t="s">
        <v>115</v>
      </c>
      <c r="D168" s="465" t="s">
        <v>506</v>
      </c>
      <c r="E168" s="466" t="s">
        <v>486</v>
      </c>
      <c r="F168" s="467"/>
      <c r="G168" s="662" t="s">
        <v>507</v>
      </c>
      <c r="H168" s="474" t="s">
        <v>145</v>
      </c>
      <c r="I168" s="663" t="s">
        <v>505</v>
      </c>
      <c r="J168" s="481"/>
      <c r="K168" s="477"/>
      <c r="L168" s="892">
        <f>1.02*8590</f>
        <v>8761.7999999999993</v>
      </c>
      <c r="M168" s="508">
        <f t="shared" si="10"/>
        <v>10952.25</v>
      </c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</row>
    <row r="169" spans="1:223" s="15" customFormat="1" ht="38.25" customHeight="1">
      <c r="A169" s="421"/>
      <c r="B169" s="463" t="s">
        <v>946</v>
      </c>
      <c r="C169" s="464" t="s">
        <v>96</v>
      </c>
      <c r="D169" s="465" t="s">
        <v>1540</v>
      </c>
      <c r="E169" s="466" t="s">
        <v>1321</v>
      </c>
      <c r="F169" s="483"/>
      <c r="G169" s="662" t="s">
        <v>545</v>
      </c>
      <c r="H169" s="646" t="s">
        <v>145</v>
      </c>
      <c r="I169" s="663" t="s">
        <v>161</v>
      </c>
      <c r="J169" s="507" t="s">
        <v>481</v>
      </c>
      <c r="K169" s="477"/>
      <c r="L169" s="892">
        <f>1.02*6500</f>
        <v>6630</v>
      </c>
      <c r="M169" s="508">
        <f t="shared" si="10"/>
        <v>8287.5</v>
      </c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</row>
    <row r="170" spans="1:223" s="15" customFormat="1" ht="22.5" customHeight="1">
      <c r="A170" s="421"/>
      <c r="B170" s="463" t="s">
        <v>945</v>
      </c>
      <c r="C170" s="464" t="s">
        <v>96</v>
      </c>
      <c r="D170" s="465" t="s">
        <v>282</v>
      </c>
      <c r="E170" s="466" t="s">
        <v>486</v>
      </c>
      <c r="F170" s="467"/>
      <c r="G170" s="554" t="s">
        <v>194</v>
      </c>
      <c r="H170" s="474" t="s">
        <v>145</v>
      </c>
      <c r="I170" s="618" t="s">
        <v>151</v>
      </c>
      <c r="J170" s="664"/>
      <c r="K170" s="477"/>
      <c r="L170" s="892">
        <f>1.02*7220</f>
        <v>7364.4000000000005</v>
      </c>
      <c r="M170" s="508">
        <f t="shared" si="10"/>
        <v>9205.5</v>
      </c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</row>
    <row r="171" spans="1:223" s="15" customFormat="1" ht="45.75" customHeight="1">
      <c r="A171" s="421"/>
      <c r="B171" s="463" t="s">
        <v>943</v>
      </c>
      <c r="C171" s="464" t="s">
        <v>96</v>
      </c>
      <c r="D171" s="465" t="s">
        <v>37</v>
      </c>
      <c r="E171" s="466" t="s">
        <v>283</v>
      </c>
      <c r="F171" s="467"/>
      <c r="G171" s="560" t="s">
        <v>178</v>
      </c>
      <c r="H171" s="474" t="s">
        <v>145</v>
      </c>
      <c r="I171" s="618" t="s">
        <v>247</v>
      </c>
      <c r="J171" s="664"/>
      <c r="K171" s="471"/>
      <c r="L171" s="892">
        <f>1.02*7160</f>
        <v>7303.2</v>
      </c>
      <c r="M171" s="508">
        <f t="shared" si="10"/>
        <v>9129</v>
      </c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</row>
    <row r="172" spans="1:223" s="15" customFormat="1" ht="25.5" customHeight="1">
      <c r="A172" s="421"/>
      <c r="B172" s="463" t="s">
        <v>947</v>
      </c>
      <c r="C172" s="464" t="s">
        <v>96</v>
      </c>
      <c r="D172" s="465" t="s">
        <v>461</v>
      </c>
      <c r="E172" s="466" t="s">
        <v>1182</v>
      </c>
      <c r="F172" s="467"/>
      <c r="G172" s="665" t="s">
        <v>187</v>
      </c>
      <c r="H172" s="666" t="s">
        <v>145</v>
      </c>
      <c r="I172" s="667" t="s">
        <v>237</v>
      </c>
      <c r="J172" s="507"/>
      <c r="K172" s="477"/>
      <c r="L172" s="892">
        <f>1.02*4680</f>
        <v>4773.6000000000004</v>
      </c>
      <c r="M172" s="508">
        <f t="shared" si="10"/>
        <v>5967</v>
      </c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</row>
    <row r="173" spans="1:223" s="15" customFormat="1" ht="23.25" customHeight="1">
      <c r="A173" s="421"/>
      <c r="B173" s="463" t="s">
        <v>1274</v>
      </c>
      <c r="C173" s="464" t="s">
        <v>96</v>
      </c>
      <c r="D173" s="465" t="s">
        <v>1541</v>
      </c>
      <c r="E173" s="466" t="s">
        <v>648</v>
      </c>
      <c r="F173" s="467"/>
      <c r="G173" s="665" t="s">
        <v>1273</v>
      </c>
      <c r="H173" s="666" t="s">
        <v>145</v>
      </c>
      <c r="I173" s="667" t="s">
        <v>237</v>
      </c>
      <c r="J173" s="507"/>
      <c r="K173" s="477"/>
      <c r="L173" s="892">
        <f>1.02*4370</f>
        <v>4457.3999999999996</v>
      </c>
      <c r="M173" s="508">
        <f t="shared" si="10"/>
        <v>5571.75</v>
      </c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</row>
    <row r="174" spans="1:223" s="15" customFormat="1" ht="22.5" customHeight="1">
      <c r="A174" s="421"/>
      <c r="B174" s="463" t="s">
        <v>949</v>
      </c>
      <c r="C174" s="464" t="s">
        <v>96</v>
      </c>
      <c r="D174" s="465" t="s">
        <v>498</v>
      </c>
      <c r="E174" s="466" t="s">
        <v>497</v>
      </c>
      <c r="F174" s="467"/>
      <c r="G174" s="665" t="s">
        <v>177</v>
      </c>
      <c r="H174" s="666"/>
      <c r="I174" s="667" t="s">
        <v>148</v>
      </c>
      <c r="J174" s="507"/>
      <c r="K174" s="477"/>
      <c r="L174" s="892">
        <f>1.02*6680</f>
        <v>6813.6</v>
      </c>
      <c r="M174" s="508">
        <f t="shared" si="10"/>
        <v>8517</v>
      </c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</row>
    <row r="175" spans="1:223" s="15" customFormat="1" ht="36" customHeight="1">
      <c r="A175" s="421"/>
      <c r="B175" s="463" t="s">
        <v>948</v>
      </c>
      <c r="C175" s="464" t="s">
        <v>96</v>
      </c>
      <c r="D175" s="465" t="s">
        <v>1542</v>
      </c>
      <c r="E175" s="466" t="s">
        <v>123</v>
      </c>
      <c r="F175" s="467"/>
      <c r="G175" s="668" t="s">
        <v>195</v>
      </c>
      <c r="H175" s="669" t="s">
        <v>145</v>
      </c>
      <c r="I175" s="670" t="s">
        <v>151</v>
      </c>
      <c r="J175" s="528"/>
      <c r="K175" s="477"/>
      <c r="L175" s="892">
        <f>1.02*5950</f>
        <v>6069</v>
      </c>
      <c r="M175" s="508">
        <f t="shared" si="10"/>
        <v>7586.25</v>
      </c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</row>
    <row r="176" spans="1:223" s="15" customFormat="1" ht="36" customHeight="1">
      <c r="A176" s="421"/>
      <c r="B176" s="463" t="s">
        <v>950</v>
      </c>
      <c r="C176" s="464" t="s">
        <v>92</v>
      </c>
      <c r="D176" s="465" t="s">
        <v>803</v>
      </c>
      <c r="E176" s="466" t="s">
        <v>804</v>
      </c>
      <c r="F176" s="467"/>
      <c r="G176" s="665" t="s">
        <v>243</v>
      </c>
      <c r="H176" s="666"/>
      <c r="I176" s="667" t="s">
        <v>619</v>
      </c>
      <c r="J176" s="507"/>
      <c r="K176" s="477"/>
      <c r="L176" s="892">
        <f>1.02*7600</f>
        <v>7752</v>
      </c>
      <c r="M176" s="508">
        <f t="shared" si="10"/>
        <v>9690</v>
      </c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</row>
    <row r="177" spans="1:223" s="8" customFormat="1" ht="36" customHeight="1">
      <c r="A177" s="421"/>
      <c r="B177" s="463" t="s">
        <v>1349</v>
      </c>
      <c r="C177" s="464" t="s">
        <v>96</v>
      </c>
      <c r="D177" s="465" t="s">
        <v>1352</v>
      </c>
      <c r="E177" s="466" t="s">
        <v>1229</v>
      </c>
      <c r="F177" s="542" t="s">
        <v>1351</v>
      </c>
      <c r="G177" s="468" t="s">
        <v>583</v>
      </c>
      <c r="H177" s="474"/>
      <c r="I177" s="528" t="s">
        <v>1350</v>
      </c>
      <c r="J177" s="528" t="s">
        <v>481</v>
      </c>
      <c r="K177" s="471"/>
      <c r="L177" s="892">
        <f>1.02*7450</f>
        <v>7599</v>
      </c>
      <c r="M177" s="508">
        <f t="shared" si="10"/>
        <v>9498.75</v>
      </c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</row>
    <row r="178" spans="1:223" s="8" customFormat="1" ht="36" customHeight="1">
      <c r="A178" s="421"/>
      <c r="B178" s="463" t="s">
        <v>951</v>
      </c>
      <c r="C178" s="464" t="s">
        <v>96</v>
      </c>
      <c r="D178" s="465" t="s">
        <v>295</v>
      </c>
      <c r="E178" s="466" t="s">
        <v>51</v>
      </c>
      <c r="F178" s="467"/>
      <c r="G178" s="468" t="s">
        <v>196</v>
      </c>
      <c r="H178" s="474" t="s">
        <v>145</v>
      </c>
      <c r="I178" s="528" t="s">
        <v>151</v>
      </c>
      <c r="J178" s="528"/>
      <c r="K178" s="471"/>
      <c r="L178" s="892">
        <f>1.02*7220</f>
        <v>7364.4000000000005</v>
      </c>
      <c r="M178" s="508">
        <f t="shared" si="10"/>
        <v>9205.5</v>
      </c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</row>
    <row r="179" spans="1:223" s="8" customFormat="1" ht="36" customHeight="1">
      <c r="A179" s="421"/>
      <c r="B179" s="489" t="s">
        <v>952</v>
      </c>
      <c r="C179" s="490" t="s">
        <v>96</v>
      </c>
      <c r="D179" s="491" t="s">
        <v>296</v>
      </c>
      <c r="E179" s="492" t="s">
        <v>70</v>
      </c>
      <c r="F179" s="525"/>
      <c r="G179" s="494" t="s">
        <v>198</v>
      </c>
      <c r="H179" s="495" t="s">
        <v>145</v>
      </c>
      <c r="I179" s="496" t="s">
        <v>237</v>
      </c>
      <c r="J179" s="496"/>
      <c r="K179" s="601"/>
      <c r="L179" s="892">
        <v>5230</v>
      </c>
      <c r="M179" s="498">
        <f t="shared" si="10"/>
        <v>6537.5</v>
      </c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</row>
    <row r="180" spans="1:223" s="15" customFormat="1" ht="23.25" customHeight="1">
      <c r="A180" s="421"/>
      <c r="B180" s="499"/>
      <c r="C180" s="515"/>
      <c r="D180" s="500" t="s">
        <v>403</v>
      </c>
      <c r="E180" s="501"/>
      <c r="F180" s="502"/>
      <c r="G180" s="503"/>
      <c r="H180" s="502"/>
      <c r="I180" s="504"/>
      <c r="J180" s="505"/>
      <c r="K180" s="506"/>
      <c r="L180" s="892"/>
      <c r="M180" s="508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</row>
    <row r="181" spans="1:223" s="15" customFormat="1" ht="22.5" customHeight="1">
      <c r="A181" s="421"/>
      <c r="B181" s="463" t="s">
        <v>953</v>
      </c>
      <c r="C181" s="464" t="s">
        <v>96</v>
      </c>
      <c r="D181" s="465" t="s">
        <v>1543</v>
      </c>
      <c r="E181" s="466" t="s">
        <v>43</v>
      </c>
      <c r="F181" s="467"/>
      <c r="G181" s="480" t="s">
        <v>404</v>
      </c>
      <c r="H181" s="646" t="s">
        <v>145</v>
      </c>
      <c r="I181" s="481" t="s">
        <v>163</v>
      </c>
      <c r="J181" s="481" t="s">
        <v>481</v>
      </c>
      <c r="K181" s="477"/>
      <c r="L181" s="892">
        <f>1.02*7440</f>
        <v>7588.8</v>
      </c>
      <c r="M181" s="508">
        <f>L181*1.25</f>
        <v>9486</v>
      </c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</row>
    <row r="182" spans="1:223" s="15" customFormat="1" ht="22.5" customHeight="1">
      <c r="A182" s="421"/>
      <c r="B182" s="463" t="s">
        <v>954</v>
      </c>
      <c r="C182" s="464" t="s">
        <v>96</v>
      </c>
      <c r="D182" s="465" t="s">
        <v>1544</v>
      </c>
      <c r="E182" s="466" t="s">
        <v>368</v>
      </c>
      <c r="F182" s="467"/>
      <c r="G182" s="480" t="s">
        <v>404</v>
      </c>
      <c r="H182" s="646"/>
      <c r="I182" s="481" t="s">
        <v>430</v>
      </c>
      <c r="J182" s="507" t="s">
        <v>481</v>
      </c>
      <c r="K182" s="477"/>
      <c r="L182" s="892">
        <f>1.02*8150</f>
        <v>8313</v>
      </c>
      <c r="M182" s="508">
        <f>L182*1.25</f>
        <v>10391.25</v>
      </c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</row>
    <row r="183" spans="1:223" s="15" customFormat="1" ht="23.25" customHeight="1">
      <c r="A183" s="421"/>
      <c r="B183" s="499"/>
      <c r="C183" s="515"/>
      <c r="D183" s="500" t="s">
        <v>745</v>
      </c>
      <c r="E183" s="501"/>
      <c r="F183" s="502"/>
      <c r="G183" s="503"/>
      <c r="H183" s="502"/>
      <c r="I183" s="504"/>
      <c r="J183" s="505"/>
      <c r="K183" s="506"/>
      <c r="L183" s="892"/>
      <c r="M183" s="508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</row>
    <row r="184" spans="1:223" s="15" customFormat="1" ht="23.25" customHeight="1">
      <c r="A184" s="421"/>
      <c r="B184" s="463" t="s">
        <v>955</v>
      </c>
      <c r="C184" s="464" t="s">
        <v>96</v>
      </c>
      <c r="D184" s="465" t="s">
        <v>746</v>
      </c>
      <c r="E184" s="466" t="s">
        <v>109</v>
      </c>
      <c r="F184" s="467"/>
      <c r="G184" s="593" t="s">
        <v>207</v>
      </c>
      <c r="H184" s="595"/>
      <c r="I184" s="481" t="s">
        <v>237</v>
      </c>
      <c r="J184" s="481"/>
      <c r="K184" s="477"/>
      <c r="L184" s="892">
        <f>1.02*4590</f>
        <v>4681.8</v>
      </c>
      <c r="M184" s="508">
        <f>L184*1.25</f>
        <v>5852.25</v>
      </c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</row>
    <row r="185" spans="1:223" s="15" customFormat="1" ht="23.25" customHeight="1">
      <c r="A185" s="421"/>
      <c r="B185" s="536"/>
      <c r="C185" s="537"/>
      <c r="D185" s="538" t="s">
        <v>716</v>
      </c>
      <c r="E185" s="539"/>
      <c r="F185" s="540"/>
      <c r="G185" s="671"/>
      <c r="H185" s="540"/>
      <c r="I185" s="643"/>
      <c r="J185" s="643"/>
      <c r="K185" s="519"/>
      <c r="L185" s="892"/>
      <c r="M185" s="508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</row>
    <row r="186" spans="1:223" s="15" customFormat="1" ht="23.25" customHeight="1">
      <c r="A186" s="421"/>
      <c r="B186" s="672" t="s">
        <v>956</v>
      </c>
      <c r="C186" s="581" t="s">
        <v>96</v>
      </c>
      <c r="D186" s="645" t="s">
        <v>1545</v>
      </c>
      <c r="E186" s="673" t="s">
        <v>648</v>
      </c>
      <c r="F186" s="483"/>
      <c r="G186" s="585" t="s">
        <v>573</v>
      </c>
      <c r="H186" s="483"/>
      <c r="I186" s="674" t="s">
        <v>151</v>
      </c>
      <c r="J186" s="674"/>
      <c r="K186" s="588"/>
      <c r="L186" s="892">
        <f>1.02*5010</f>
        <v>5110.2</v>
      </c>
      <c r="M186" s="508">
        <f>L186*1.25</f>
        <v>6387.75</v>
      </c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</row>
    <row r="187" spans="1:223" s="75" customFormat="1" ht="23.25" customHeight="1">
      <c r="A187" s="421"/>
      <c r="B187" s="536"/>
      <c r="C187" s="536"/>
      <c r="D187" s="538" t="s">
        <v>129</v>
      </c>
      <c r="E187" s="675"/>
      <c r="F187" s="540"/>
      <c r="G187" s="676"/>
      <c r="H187" s="540"/>
      <c r="I187" s="519"/>
      <c r="J187" s="519"/>
      <c r="K187" s="519"/>
      <c r="L187" s="892"/>
      <c r="M187" s="508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</row>
    <row r="188" spans="1:223" s="75" customFormat="1" ht="23.25" customHeight="1">
      <c r="A188" s="421"/>
      <c r="B188" s="463" t="s">
        <v>957</v>
      </c>
      <c r="C188" s="464" t="s">
        <v>96</v>
      </c>
      <c r="D188" s="465" t="s">
        <v>261</v>
      </c>
      <c r="E188" s="466" t="s">
        <v>130</v>
      </c>
      <c r="F188" s="467"/>
      <c r="G188" s="468" t="s">
        <v>177</v>
      </c>
      <c r="H188" s="467"/>
      <c r="I188" s="470" t="s">
        <v>151</v>
      </c>
      <c r="J188" s="471"/>
      <c r="K188" s="477"/>
      <c r="L188" s="892">
        <f>1.02*6340</f>
        <v>6466.8</v>
      </c>
      <c r="M188" s="508">
        <f>L188*1.25</f>
        <v>8083.5</v>
      </c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</row>
    <row r="189" spans="1:223" s="75" customFormat="1" ht="22.5" customHeight="1">
      <c r="A189" s="421"/>
      <c r="B189" s="463" t="s">
        <v>1389</v>
      </c>
      <c r="C189" s="464" t="s">
        <v>96</v>
      </c>
      <c r="D189" s="465" t="s">
        <v>261</v>
      </c>
      <c r="E189" s="466" t="s">
        <v>1182</v>
      </c>
      <c r="F189" s="542" t="s">
        <v>1351</v>
      </c>
      <c r="G189" s="468" t="s">
        <v>583</v>
      </c>
      <c r="H189" s="474"/>
      <c r="I189" s="470" t="s">
        <v>48</v>
      </c>
      <c r="J189" s="507" t="s">
        <v>481</v>
      </c>
      <c r="K189" s="477"/>
      <c r="L189" s="892">
        <f>1.02*7900</f>
        <v>8058</v>
      </c>
      <c r="M189" s="508">
        <f>L189*1.25</f>
        <v>10072.5</v>
      </c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</row>
    <row r="190" spans="1:223" s="52" customFormat="1" ht="23.25" customHeight="1">
      <c r="A190" s="421"/>
      <c r="B190" s="499"/>
      <c r="C190" s="515"/>
      <c r="D190" s="500" t="s">
        <v>95</v>
      </c>
      <c r="E190" s="501"/>
      <c r="F190" s="502"/>
      <c r="G190" s="503"/>
      <c r="H190" s="502"/>
      <c r="I190" s="504"/>
      <c r="J190" s="505"/>
      <c r="K190" s="506"/>
      <c r="L190" s="892"/>
      <c r="M190" s="677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223" s="8" customFormat="1" ht="32.25" customHeight="1">
      <c r="A191" s="421"/>
      <c r="B191" s="463" t="s">
        <v>958</v>
      </c>
      <c r="C191" s="464" t="s">
        <v>96</v>
      </c>
      <c r="D191" s="465" t="s">
        <v>11</v>
      </c>
      <c r="E191" s="466" t="s">
        <v>587</v>
      </c>
      <c r="F191" s="467"/>
      <c r="G191" s="468" t="s">
        <v>202</v>
      </c>
      <c r="H191" s="474" t="s">
        <v>145</v>
      </c>
      <c r="I191" s="475" t="s">
        <v>151</v>
      </c>
      <c r="J191" s="475"/>
      <c r="K191" s="477"/>
      <c r="L191" s="892">
        <f>1.02*6740</f>
        <v>6874.8</v>
      </c>
      <c r="M191" s="678">
        <f t="shared" ref="M191:M221" si="11">L191*1.25</f>
        <v>8593.5</v>
      </c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</row>
    <row r="192" spans="1:223" s="8" customFormat="1" ht="22.5" customHeight="1">
      <c r="A192" s="421"/>
      <c r="B192" s="463" t="s">
        <v>959</v>
      </c>
      <c r="C192" s="464" t="s">
        <v>96</v>
      </c>
      <c r="D192" s="465" t="s">
        <v>12</v>
      </c>
      <c r="E192" s="486" t="s">
        <v>109</v>
      </c>
      <c r="F192" s="467"/>
      <c r="G192" s="480" t="s">
        <v>181</v>
      </c>
      <c r="H192" s="646" t="s">
        <v>145</v>
      </c>
      <c r="I192" s="475" t="s">
        <v>163</v>
      </c>
      <c r="J192" s="475"/>
      <c r="K192" s="471"/>
      <c r="L192" s="892">
        <f>1.02*7460</f>
        <v>7609.2</v>
      </c>
      <c r="M192" s="678">
        <f t="shared" si="11"/>
        <v>9511.5</v>
      </c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</row>
    <row r="193" spans="1:228" s="4" customFormat="1" ht="35.25" customHeight="1">
      <c r="A193" s="421"/>
      <c r="B193" s="463" t="s">
        <v>936</v>
      </c>
      <c r="C193" s="464" t="s">
        <v>96</v>
      </c>
      <c r="D193" s="465" t="s">
        <v>749</v>
      </c>
      <c r="E193" s="466" t="s">
        <v>510</v>
      </c>
      <c r="F193" s="467"/>
      <c r="G193" s="468" t="s">
        <v>204</v>
      </c>
      <c r="H193" s="474" t="s">
        <v>145</v>
      </c>
      <c r="I193" s="475" t="s">
        <v>148</v>
      </c>
      <c r="J193" s="475"/>
      <c r="K193" s="477"/>
      <c r="L193" s="892">
        <f>1.02*5930</f>
        <v>6048.6</v>
      </c>
      <c r="M193" s="678">
        <f t="shared" si="11"/>
        <v>7560.75</v>
      </c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</row>
    <row r="194" spans="1:228" ht="44.25" customHeight="1">
      <c r="A194" s="421"/>
      <c r="B194" s="463" t="s">
        <v>937</v>
      </c>
      <c r="C194" s="464" t="s">
        <v>96</v>
      </c>
      <c r="D194" s="465" t="s">
        <v>1546</v>
      </c>
      <c r="E194" s="466" t="s">
        <v>437</v>
      </c>
      <c r="F194" s="483"/>
      <c r="G194" s="468" t="s">
        <v>540</v>
      </c>
      <c r="H194" s="646" t="s">
        <v>145</v>
      </c>
      <c r="I194" s="618" t="s">
        <v>151</v>
      </c>
      <c r="J194" s="507" t="s">
        <v>481</v>
      </c>
      <c r="K194" s="471"/>
      <c r="L194" s="892">
        <f>1.02*5160</f>
        <v>5263.2</v>
      </c>
      <c r="M194" s="678">
        <f t="shared" si="11"/>
        <v>6579</v>
      </c>
      <c r="AJ194" s="2"/>
      <c r="AK194" s="2"/>
      <c r="AL194" s="2"/>
      <c r="AM194" s="2"/>
    </row>
    <row r="195" spans="1:228" s="15" customFormat="1" ht="22.5" customHeight="1">
      <c r="A195" s="421"/>
      <c r="B195" s="463" t="s">
        <v>960</v>
      </c>
      <c r="C195" s="464" t="s">
        <v>96</v>
      </c>
      <c r="D195" s="465" t="s">
        <v>751</v>
      </c>
      <c r="E195" s="466" t="s">
        <v>588</v>
      </c>
      <c r="F195" s="467"/>
      <c r="G195" s="554" t="s">
        <v>203</v>
      </c>
      <c r="H195" s="474" t="s">
        <v>145</v>
      </c>
      <c r="I195" s="663" t="s">
        <v>153</v>
      </c>
      <c r="J195" s="481"/>
      <c r="K195" s="477"/>
      <c r="L195" s="892">
        <f>1.02*4590</f>
        <v>4681.8</v>
      </c>
      <c r="M195" s="678">
        <f t="shared" si="11"/>
        <v>5852.25</v>
      </c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</row>
    <row r="196" spans="1:228" s="15" customFormat="1" ht="35.25" customHeight="1">
      <c r="A196" s="421"/>
      <c r="B196" s="463" t="s">
        <v>1241</v>
      </c>
      <c r="C196" s="464" t="s">
        <v>96</v>
      </c>
      <c r="D196" s="465" t="s">
        <v>1547</v>
      </c>
      <c r="E196" s="466" t="s">
        <v>437</v>
      </c>
      <c r="F196" s="467"/>
      <c r="G196" s="554" t="s">
        <v>572</v>
      </c>
      <c r="H196" s="474" t="s">
        <v>145</v>
      </c>
      <c r="I196" s="663" t="s">
        <v>151</v>
      </c>
      <c r="J196" s="481" t="s">
        <v>481</v>
      </c>
      <c r="K196" s="477"/>
      <c r="L196" s="892">
        <f>1.02*4320</f>
        <v>4406.3999999999996</v>
      </c>
      <c r="M196" s="678">
        <f t="shared" si="11"/>
        <v>5508</v>
      </c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</row>
    <row r="197" spans="1:228" s="15" customFormat="1" ht="22.5" customHeight="1">
      <c r="A197" s="421"/>
      <c r="B197" s="463" t="s">
        <v>962</v>
      </c>
      <c r="C197" s="464" t="s">
        <v>96</v>
      </c>
      <c r="D197" s="465" t="s">
        <v>1292</v>
      </c>
      <c r="E197" s="486" t="s">
        <v>538</v>
      </c>
      <c r="F197" s="467"/>
      <c r="G197" s="679" t="s">
        <v>184</v>
      </c>
      <c r="H197" s="646"/>
      <c r="I197" s="663" t="s">
        <v>234</v>
      </c>
      <c r="J197" s="481"/>
      <c r="K197" s="471"/>
      <c r="L197" s="892">
        <f>1.02*4970</f>
        <v>5069.3999999999996</v>
      </c>
      <c r="M197" s="678">
        <f t="shared" si="11"/>
        <v>6336.75</v>
      </c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</row>
    <row r="198" spans="1:228" ht="23.25" customHeight="1">
      <c r="A198" s="421"/>
      <c r="B198" s="463" t="s">
        <v>961</v>
      </c>
      <c r="C198" s="464" t="s">
        <v>96</v>
      </c>
      <c r="D198" s="465" t="s">
        <v>286</v>
      </c>
      <c r="E198" s="466" t="s">
        <v>308</v>
      </c>
      <c r="F198" s="467"/>
      <c r="G198" s="468" t="s">
        <v>201</v>
      </c>
      <c r="H198" s="467"/>
      <c r="I198" s="528" t="s">
        <v>397</v>
      </c>
      <c r="J198" s="528"/>
      <c r="K198" s="477"/>
      <c r="L198" s="892">
        <f>1.02*4320</f>
        <v>4406.3999999999996</v>
      </c>
      <c r="M198" s="678">
        <f t="shared" si="11"/>
        <v>5508</v>
      </c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15"/>
      <c r="HQ198" s="15"/>
      <c r="HR198" s="15"/>
      <c r="HS198" s="15"/>
      <c r="HT198" s="15"/>
    </row>
    <row r="199" spans="1:228" s="11" customFormat="1" ht="26.25" customHeight="1">
      <c r="A199" s="421"/>
      <c r="B199" s="463" t="s">
        <v>963</v>
      </c>
      <c r="C199" s="464" t="s">
        <v>96</v>
      </c>
      <c r="D199" s="465" t="s">
        <v>1548</v>
      </c>
      <c r="E199" s="486" t="s">
        <v>549</v>
      </c>
      <c r="F199" s="483"/>
      <c r="G199" s="513" t="s">
        <v>573</v>
      </c>
      <c r="H199" s="646"/>
      <c r="I199" s="475" t="s">
        <v>152</v>
      </c>
      <c r="J199" s="475" t="s">
        <v>481</v>
      </c>
      <c r="K199" s="471"/>
      <c r="L199" s="892">
        <f>1.02*4650</f>
        <v>4743</v>
      </c>
      <c r="M199" s="678">
        <f t="shared" si="11"/>
        <v>5928.75</v>
      </c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</row>
    <row r="200" spans="1:228" s="15" customFormat="1" ht="26.25" customHeight="1">
      <c r="A200" s="421"/>
      <c r="B200" s="484" t="s">
        <v>1395</v>
      </c>
      <c r="C200" s="464" t="s">
        <v>96</v>
      </c>
      <c r="D200" s="485" t="s">
        <v>1396</v>
      </c>
      <c r="E200" s="486" t="s">
        <v>1360</v>
      </c>
      <c r="F200" s="542" t="s">
        <v>1351</v>
      </c>
      <c r="G200" s="513" t="s">
        <v>583</v>
      </c>
      <c r="H200" s="646"/>
      <c r="I200" s="481" t="s">
        <v>1397</v>
      </c>
      <c r="J200" s="481" t="s">
        <v>481</v>
      </c>
      <c r="K200" s="471"/>
      <c r="L200" s="892">
        <f>1.02*6350</f>
        <v>6477</v>
      </c>
      <c r="M200" s="680">
        <f t="shared" si="11"/>
        <v>8096.25</v>
      </c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8"/>
      <c r="HQ200" s="8"/>
      <c r="HR200" s="8"/>
      <c r="HS200" s="8"/>
      <c r="HT200" s="8"/>
    </row>
    <row r="201" spans="1:228" s="15" customFormat="1" ht="22.5" customHeight="1">
      <c r="A201" s="421"/>
      <c r="B201" s="463" t="s">
        <v>1233</v>
      </c>
      <c r="C201" s="464" t="s">
        <v>96</v>
      </c>
      <c r="D201" s="465" t="s">
        <v>1549</v>
      </c>
      <c r="E201" s="486" t="s">
        <v>27</v>
      </c>
      <c r="F201" s="681" t="s">
        <v>1231</v>
      </c>
      <c r="G201" s="513" t="s">
        <v>1234</v>
      </c>
      <c r="H201" s="474" t="s">
        <v>145</v>
      </c>
      <c r="I201" s="481" t="s">
        <v>161</v>
      </c>
      <c r="J201" s="481"/>
      <c r="K201" s="471"/>
      <c r="L201" s="892">
        <f>1.02*5240</f>
        <v>5344.8</v>
      </c>
      <c r="M201" s="678">
        <f t="shared" si="11"/>
        <v>6681</v>
      </c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</row>
    <row r="202" spans="1:228" s="15" customFormat="1" ht="31.5" customHeight="1">
      <c r="A202" s="421"/>
      <c r="B202" s="463" t="s">
        <v>965</v>
      </c>
      <c r="C202" s="464" t="s">
        <v>96</v>
      </c>
      <c r="D202" s="465" t="s">
        <v>592</v>
      </c>
      <c r="E202" s="466" t="s">
        <v>464</v>
      </c>
      <c r="F202" s="467"/>
      <c r="G202" s="468" t="s">
        <v>227</v>
      </c>
      <c r="H202" s="474"/>
      <c r="I202" s="618" t="s">
        <v>148</v>
      </c>
      <c r="J202" s="618"/>
      <c r="K202" s="471"/>
      <c r="L202" s="892">
        <f>1.02*5580</f>
        <v>5691.6</v>
      </c>
      <c r="M202" s="678">
        <f t="shared" si="11"/>
        <v>7114.5</v>
      </c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</row>
    <row r="203" spans="1:228" s="15" customFormat="1" ht="24" customHeight="1">
      <c r="A203" s="421"/>
      <c r="B203" s="489" t="s">
        <v>966</v>
      </c>
      <c r="C203" s="490" t="s">
        <v>96</v>
      </c>
      <c r="D203" s="491" t="s">
        <v>592</v>
      </c>
      <c r="E203" s="492" t="s">
        <v>435</v>
      </c>
      <c r="F203" s="525"/>
      <c r="G203" s="494" t="s">
        <v>227</v>
      </c>
      <c r="H203" s="495" t="s">
        <v>145</v>
      </c>
      <c r="I203" s="496" t="s">
        <v>237</v>
      </c>
      <c r="J203" s="601"/>
      <c r="K203" s="601"/>
      <c r="L203" s="892">
        <v>6200</v>
      </c>
      <c r="M203" s="498">
        <f t="shared" si="11"/>
        <v>7750</v>
      </c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</row>
    <row r="204" spans="1:228" s="15" customFormat="1" ht="22.5" customHeight="1">
      <c r="A204" s="421"/>
      <c r="B204" s="463" t="s">
        <v>964</v>
      </c>
      <c r="C204" s="464" t="s">
        <v>96</v>
      </c>
      <c r="D204" s="465" t="s">
        <v>487</v>
      </c>
      <c r="E204" s="466" t="s">
        <v>83</v>
      </c>
      <c r="F204" s="467"/>
      <c r="G204" s="468" t="s">
        <v>193</v>
      </c>
      <c r="H204" s="474"/>
      <c r="I204" s="528" t="s">
        <v>306</v>
      </c>
      <c r="J204" s="528"/>
      <c r="K204" s="477"/>
      <c r="L204" s="892">
        <f>1.02*4710</f>
        <v>4804.2</v>
      </c>
      <c r="M204" s="678">
        <f t="shared" si="11"/>
        <v>6005.25</v>
      </c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</row>
    <row r="205" spans="1:228" s="15" customFormat="1" ht="22.5" customHeight="1">
      <c r="A205" s="421"/>
      <c r="B205" s="463" t="s">
        <v>599</v>
      </c>
      <c r="C205" s="464" t="s">
        <v>144</v>
      </c>
      <c r="D205" s="465" t="s">
        <v>1550</v>
      </c>
      <c r="E205" s="466" t="s">
        <v>355</v>
      </c>
      <c r="F205" s="520"/>
      <c r="G205" s="468"/>
      <c r="H205" s="646"/>
      <c r="I205" s="528"/>
      <c r="J205" s="507"/>
      <c r="K205" s="471"/>
      <c r="L205" s="892">
        <f>1.02*7200</f>
        <v>7344</v>
      </c>
      <c r="M205" s="678">
        <f t="shared" si="11"/>
        <v>9180</v>
      </c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</row>
    <row r="206" spans="1:228" s="15" customFormat="1" ht="40.5">
      <c r="A206" s="421"/>
      <c r="B206" s="489" t="s">
        <v>952</v>
      </c>
      <c r="C206" s="490" t="s">
        <v>96</v>
      </c>
      <c r="D206" s="491" t="s">
        <v>297</v>
      </c>
      <c r="E206" s="492" t="s">
        <v>309</v>
      </c>
      <c r="F206" s="525"/>
      <c r="G206" s="494" t="s">
        <v>198</v>
      </c>
      <c r="H206" s="495" t="s">
        <v>145</v>
      </c>
      <c r="I206" s="630" t="s">
        <v>237</v>
      </c>
      <c r="J206" s="630"/>
      <c r="K206" s="601"/>
      <c r="L206" s="892">
        <v>5230</v>
      </c>
      <c r="M206" s="498">
        <f t="shared" si="11"/>
        <v>6537.5</v>
      </c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</row>
    <row r="207" spans="1:228" s="15" customFormat="1" ht="33" customHeight="1">
      <c r="A207" s="421"/>
      <c r="B207" s="463" t="s">
        <v>967</v>
      </c>
      <c r="C207" s="464" t="s">
        <v>96</v>
      </c>
      <c r="D207" s="465" t="s">
        <v>305</v>
      </c>
      <c r="E207" s="486" t="s">
        <v>443</v>
      </c>
      <c r="F207" s="467"/>
      <c r="G207" s="513" t="s">
        <v>198</v>
      </c>
      <c r="H207" s="646"/>
      <c r="I207" s="475" t="s">
        <v>306</v>
      </c>
      <c r="J207" s="475"/>
      <c r="K207" s="471"/>
      <c r="L207" s="892">
        <f>1.02*6000</f>
        <v>6120</v>
      </c>
      <c r="M207" s="678">
        <f t="shared" si="11"/>
        <v>7650</v>
      </c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</row>
    <row r="208" spans="1:228" s="15" customFormat="1" ht="27" customHeight="1">
      <c r="A208" s="421"/>
      <c r="B208" s="463" t="s">
        <v>968</v>
      </c>
      <c r="C208" s="464" t="s">
        <v>96</v>
      </c>
      <c r="D208" s="465" t="s">
        <v>305</v>
      </c>
      <c r="E208" s="466" t="s">
        <v>1242</v>
      </c>
      <c r="F208" s="467"/>
      <c r="G208" s="560" t="s">
        <v>448</v>
      </c>
      <c r="H208" s="474" t="s">
        <v>145</v>
      </c>
      <c r="I208" s="618" t="s">
        <v>449</v>
      </c>
      <c r="J208" s="470"/>
      <c r="K208" s="471"/>
      <c r="L208" s="892">
        <f>1.02*5720</f>
        <v>5834.4000000000005</v>
      </c>
      <c r="M208" s="678">
        <f t="shared" si="11"/>
        <v>7293.0000000000009</v>
      </c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</row>
    <row r="209" spans="1:228" s="15" customFormat="1" ht="22.5" customHeight="1">
      <c r="A209" s="421"/>
      <c r="B209" s="463" t="s">
        <v>972</v>
      </c>
      <c r="C209" s="464" t="s">
        <v>92</v>
      </c>
      <c r="D209" s="465" t="s">
        <v>823</v>
      </c>
      <c r="E209" s="486" t="s">
        <v>591</v>
      </c>
      <c r="F209" s="483"/>
      <c r="G209" s="473"/>
      <c r="H209" s="646" t="s">
        <v>145</v>
      </c>
      <c r="I209" s="475" t="s">
        <v>47</v>
      </c>
      <c r="J209" s="475"/>
      <c r="K209" s="471"/>
      <c r="L209" s="892">
        <f>1.02*6790</f>
        <v>6925.8</v>
      </c>
      <c r="M209" s="678">
        <f t="shared" si="11"/>
        <v>8657.25</v>
      </c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</row>
    <row r="210" spans="1:228" s="15" customFormat="1" ht="22.5" customHeight="1">
      <c r="A210" s="421"/>
      <c r="B210" s="463" t="s">
        <v>969</v>
      </c>
      <c r="C210" s="464" t="s">
        <v>96</v>
      </c>
      <c r="D210" s="465" t="s">
        <v>285</v>
      </c>
      <c r="E210" s="466" t="s">
        <v>124</v>
      </c>
      <c r="F210" s="467"/>
      <c r="G210" s="560" t="s">
        <v>190</v>
      </c>
      <c r="H210" s="474" t="s">
        <v>145</v>
      </c>
      <c r="I210" s="618" t="s">
        <v>159</v>
      </c>
      <c r="J210" s="618"/>
      <c r="K210" s="471"/>
      <c r="L210" s="892">
        <f>1.02*7470</f>
        <v>7619.4000000000005</v>
      </c>
      <c r="M210" s="678">
        <f t="shared" si="11"/>
        <v>9524.25</v>
      </c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</row>
    <row r="211" spans="1:228" s="15" customFormat="1" ht="22.5" customHeight="1">
      <c r="A211" s="421"/>
      <c r="B211" s="463" t="s">
        <v>970</v>
      </c>
      <c r="C211" s="464" t="s">
        <v>92</v>
      </c>
      <c r="D211" s="465" t="s">
        <v>285</v>
      </c>
      <c r="E211" s="466" t="s">
        <v>124</v>
      </c>
      <c r="F211" s="467"/>
      <c r="G211" s="682"/>
      <c r="H211" s="474" t="s">
        <v>145</v>
      </c>
      <c r="I211" s="475" t="s">
        <v>160</v>
      </c>
      <c r="J211" s="475"/>
      <c r="K211" s="471"/>
      <c r="L211" s="892">
        <f>1.02*6400</f>
        <v>6528</v>
      </c>
      <c r="M211" s="678">
        <f t="shared" si="11"/>
        <v>8160</v>
      </c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</row>
    <row r="212" spans="1:228" s="15" customFormat="1" ht="22.5" customHeight="1">
      <c r="A212" s="421"/>
      <c r="B212" s="463" t="s">
        <v>971</v>
      </c>
      <c r="C212" s="464" t="s">
        <v>96</v>
      </c>
      <c r="D212" s="465" t="s">
        <v>285</v>
      </c>
      <c r="E212" s="466" t="s">
        <v>307</v>
      </c>
      <c r="F212" s="467"/>
      <c r="G212" s="560" t="s">
        <v>190</v>
      </c>
      <c r="H212" s="474" t="s">
        <v>145</v>
      </c>
      <c r="I212" s="618" t="s">
        <v>159</v>
      </c>
      <c r="J212" s="618"/>
      <c r="K212" s="471"/>
      <c r="L212" s="892">
        <f>1.02*6610</f>
        <v>6742.2</v>
      </c>
      <c r="M212" s="678">
        <f t="shared" si="11"/>
        <v>8427.75</v>
      </c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</row>
    <row r="213" spans="1:228" s="15" customFormat="1" ht="22.5" customHeight="1">
      <c r="A213" s="421"/>
      <c r="B213" s="463" t="s">
        <v>973</v>
      </c>
      <c r="C213" s="464" t="s">
        <v>96</v>
      </c>
      <c r="D213" s="465" t="s">
        <v>285</v>
      </c>
      <c r="E213" s="486" t="s">
        <v>538</v>
      </c>
      <c r="F213" s="467"/>
      <c r="G213" s="683" t="s">
        <v>181</v>
      </c>
      <c r="H213" s="646" t="s">
        <v>145</v>
      </c>
      <c r="I213" s="475" t="s">
        <v>151</v>
      </c>
      <c r="J213" s="475"/>
      <c r="K213" s="471"/>
      <c r="L213" s="892">
        <f>1.02*6260</f>
        <v>6385.2</v>
      </c>
      <c r="M213" s="678">
        <f t="shared" si="11"/>
        <v>7981.5</v>
      </c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</row>
    <row r="214" spans="1:228" s="15" customFormat="1" ht="22.5" customHeight="1">
      <c r="A214" s="421"/>
      <c r="B214" s="463" t="s">
        <v>946</v>
      </c>
      <c r="C214" s="464" t="s">
        <v>96</v>
      </c>
      <c r="D214" s="639" t="s">
        <v>1551</v>
      </c>
      <c r="E214" s="466" t="s">
        <v>1275</v>
      </c>
      <c r="F214" s="483"/>
      <c r="G214" s="662" t="s">
        <v>545</v>
      </c>
      <c r="H214" s="646" t="s">
        <v>145</v>
      </c>
      <c r="I214" s="475" t="s">
        <v>161</v>
      </c>
      <c r="J214" s="684" t="s">
        <v>481</v>
      </c>
      <c r="K214" s="477"/>
      <c r="L214" s="892">
        <f>1.02*6500</f>
        <v>6630</v>
      </c>
      <c r="M214" s="678">
        <f t="shared" si="11"/>
        <v>8287.5</v>
      </c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</row>
    <row r="215" spans="1:228" s="15" customFormat="1" ht="22.5" customHeight="1">
      <c r="A215" s="421"/>
      <c r="B215" s="463" t="s">
        <v>1284</v>
      </c>
      <c r="C215" s="464" t="s">
        <v>96</v>
      </c>
      <c r="D215" s="639" t="s">
        <v>1552</v>
      </c>
      <c r="E215" s="466" t="s">
        <v>1229</v>
      </c>
      <c r="F215" s="681" t="s">
        <v>1231</v>
      </c>
      <c r="G215" s="662" t="s">
        <v>1285</v>
      </c>
      <c r="H215" s="646" t="s">
        <v>145</v>
      </c>
      <c r="I215" s="475" t="s">
        <v>247</v>
      </c>
      <c r="J215" s="684" t="s">
        <v>481</v>
      </c>
      <c r="K215" s="477"/>
      <c r="L215" s="892">
        <f>1.02*6270</f>
        <v>6395.4000000000005</v>
      </c>
      <c r="M215" s="678">
        <f t="shared" si="11"/>
        <v>7994.2500000000009</v>
      </c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</row>
    <row r="216" spans="1:228" s="8" customFormat="1" ht="22.5" customHeight="1">
      <c r="A216" s="421"/>
      <c r="B216" s="463" t="s">
        <v>974</v>
      </c>
      <c r="C216" s="464" t="s">
        <v>96</v>
      </c>
      <c r="D216" s="465" t="s">
        <v>493</v>
      </c>
      <c r="E216" s="486" t="s">
        <v>670</v>
      </c>
      <c r="F216" s="467"/>
      <c r="G216" s="513" t="s">
        <v>204</v>
      </c>
      <c r="H216" s="661"/>
      <c r="I216" s="481" t="s">
        <v>155</v>
      </c>
      <c r="J216" s="481"/>
      <c r="K216" s="471"/>
      <c r="L216" s="892">
        <f>1.02*5510</f>
        <v>5620.2</v>
      </c>
      <c r="M216" s="678">
        <f t="shared" si="11"/>
        <v>7025.25</v>
      </c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15"/>
      <c r="HQ216" s="15"/>
      <c r="HR216" s="15"/>
      <c r="HS216" s="15"/>
      <c r="HT216" s="15"/>
    </row>
    <row r="217" spans="1:228" s="8" customFormat="1" ht="46.5" customHeight="1">
      <c r="A217" s="421"/>
      <c r="B217" s="463" t="s">
        <v>975</v>
      </c>
      <c r="C217" s="464" t="s">
        <v>96</v>
      </c>
      <c r="D217" s="465" t="s">
        <v>1553</v>
      </c>
      <c r="E217" s="486" t="s">
        <v>648</v>
      </c>
      <c r="F217" s="483"/>
      <c r="G217" s="513" t="s">
        <v>524</v>
      </c>
      <c r="H217" s="661"/>
      <c r="I217" s="481" t="s">
        <v>150</v>
      </c>
      <c r="J217" s="481" t="s">
        <v>481</v>
      </c>
      <c r="K217" s="471"/>
      <c r="L217" s="892">
        <f>1.02*4960</f>
        <v>5059.2</v>
      </c>
      <c r="M217" s="678">
        <f t="shared" si="11"/>
        <v>6324</v>
      </c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</row>
    <row r="218" spans="1:228" s="8" customFormat="1" ht="39" customHeight="1">
      <c r="A218" s="421"/>
      <c r="B218" s="463" t="s">
        <v>976</v>
      </c>
      <c r="C218" s="464" t="s">
        <v>96</v>
      </c>
      <c r="D218" s="465" t="s">
        <v>750</v>
      </c>
      <c r="E218" s="466" t="s">
        <v>557</v>
      </c>
      <c r="F218" s="467"/>
      <c r="G218" s="468" t="s">
        <v>200</v>
      </c>
      <c r="H218" s="479" t="s">
        <v>145</v>
      </c>
      <c r="I218" s="528" t="s">
        <v>147</v>
      </c>
      <c r="J218" s="528"/>
      <c r="K218" s="471"/>
      <c r="L218" s="892">
        <f>1.02*6240</f>
        <v>6364.8</v>
      </c>
      <c r="M218" s="678">
        <f t="shared" si="11"/>
        <v>7956</v>
      </c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</row>
    <row r="219" spans="1:228" s="8" customFormat="1" ht="32.25" customHeight="1">
      <c r="A219" s="421"/>
      <c r="B219" s="463" t="s">
        <v>978</v>
      </c>
      <c r="C219" s="464" t="s">
        <v>96</v>
      </c>
      <c r="D219" s="465" t="s">
        <v>284</v>
      </c>
      <c r="E219" s="486" t="s">
        <v>368</v>
      </c>
      <c r="F219" s="467"/>
      <c r="G219" s="513" t="s">
        <v>201</v>
      </c>
      <c r="H219" s="661"/>
      <c r="I219" s="481" t="s">
        <v>151</v>
      </c>
      <c r="J219" s="481" t="s">
        <v>481</v>
      </c>
      <c r="K219" s="471"/>
      <c r="L219" s="892">
        <f>1.02*6950</f>
        <v>7089</v>
      </c>
      <c r="M219" s="678">
        <f t="shared" si="11"/>
        <v>8861.25</v>
      </c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</row>
    <row r="220" spans="1:228" s="8" customFormat="1" ht="38.25" customHeight="1">
      <c r="A220" s="421"/>
      <c r="B220" s="463" t="s">
        <v>951</v>
      </c>
      <c r="C220" s="464" t="s">
        <v>96</v>
      </c>
      <c r="D220" s="465" t="s">
        <v>35</v>
      </c>
      <c r="E220" s="466" t="s">
        <v>50</v>
      </c>
      <c r="F220" s="467"/>
      <c r="G220" s="468" t="s">
        <v>196</v>
      </c>
      <c r="H220" s="474" t="s">
        <v>145</v>
      </c>
      <c r="I220" s="528" t="s">
        <v>151</v>
      </c>
      <c r="J220" s="528"/>
      <c r="K220" s="471"/>
      <c r="L220" s="892">
        <f>1.02*7220</f>
        <v>7364.4000000000005</v>
      </c>
      <c r="M220" s="678">
        <f t="shared" si="11"/>
        <v>9205.5</v>
      </c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</row>
    <row r="221" spans="1:228" s="8" customFormat="1" ht="21" customHeight="1">
      <c r="A221" s="421"/>
      <c r="B221" s="463" t="s">
        <v>977</v>
      </c>
      <c r="C221" s="464" t="s">
        <v>96</v>
      </c>
      <c r="D221" s="465" t="s">
        <v>752</v>
      </c>
      <c r="E221" s="466" t="s">
        <v>454</v>
      </c>
      <c r="F221" s="467"/>
      <c r="G221" s="468" t="s">
        <v>177</v>
      </c>
      <c r="H221" s="469"/>
      <c r="I221" s="528" t="s">
        <v>151</v>
      </c>
      <c r="J221" s="528"/>
      <c r="K221" s="477"/>
      <c r="L221" s="892">
        <f>1.02*5670</f>
        <v>5783.4000000000005</v>
      </c>
      <c r="M221" s="685">
        <f t="shared" si="11"/>
        <v>7229.2500000000009</v>
      </c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</row>
    <row r="222" spans="1:228" s="15" customFormat="1" ht="23.25" customHeight="1">
      <c r="A222" s="421"/>
      <c r="B222" s="499"/>
      <c r="C222" s="515"/>
      <c r="D222" s="500" t="s">
        <v>287</v>
      </c>
      <c r="E222" s="501"/>
      <c r="F222" s="502"/>
      <c r="G222" s="503"/>
      <c r="H222" s="502"/>
      <c r="I222" s="504"/>
      <c r="J222" s="505"/>
      <c r="K222" s="506"/>
      <c r="L222" s="892"/>
      <c r="M222" s="677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</row>
    <row r="223" spans="1:228" s="15" customFormat="1" ht="22.5" customHeight="1">
      <c r="A223" s="421"/>
      <c r="B223" s="463" t="s">
        <v>1286</v>
      </c>
      <c r="C223" s="464" t="s">
        <v>96</v>
      </c>
      <c r="D223" s="686" t="s">
        <v>1554</v>
      </c>
      <c r="E223" s="466" t="s">
        <v>1229</v>
      </c>
      <c r="F223" s="467"/>
      <c r="G223" s="480" t="s">
        <v>533</v>
      </c>
      <c r="H223" s="661" t="s">
        <v>145</v>
      </c>
      <c r="I223" s="481" t="s">
        <v>1287</v>
      </c>
      <c r="J223" s="481" t="s">
        <v>481</v>
      </c>
      <c r="K223" s="477"/>
      <c r="L223" s="892">
        <f>1.02*8540</f>
        <v>8710.7999999999993</v>
      </c>
      <c r="M223" s="678">
        <f>L223*1.25</f>
        <v>10888.5</v>
      </c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</row>
    <row r="224" spans="1:228" s="15" customFormat="1" ht="23.25" customHeight="1">
      <c r="A224" s="421"/>
      <c r="B224" s="463" t="s">
        <v>979</v>
      </c>
      <c r="C224" s="464" t="s">
        <v>96</v>
      </c>
      <c r="D224" s="686" t="s">
        <v>1555</v>
      </c>
      <c r="E224" s="466" t="s">
        <v>510</v>
      </c>
      <c r="F224" s="467"/>
      <c r="G224" s="480" t="s">
        <v>352</v>
      </c>
      <c r="H224" s="469"/>
      <c r="I224" s="481" t="s">
        <v>163</v>
      </c>
      <c r="J224" s="481" t="s">
        <v>481</v>
      </c>
      <c r="K224" s="477"/>
      <c r="L224" s="892">
        <f>1.02*6880</f>
        <v>7017.6</v>
      </c>
      <c r="M224" s="678">
        <f>L224*1.25</f>
        <v>8772</v>
      </c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</row>
    <row r="225" spans="1:228" s="15" customFormat="1" ht="23.25" customHeight="1">
      <c r="A225" s="421"/>
      <c r="B225" s="463" t="s">
        <v>980</v>
      </c>
      <c r="C225" s="464" t="s">
        <v>96</v>
      </c>
      <c r="D225" s="686" t="s">
        <v>495</v>
      </c>
      <c r="E225" s="466" t="s">
        <v>117</v>
      </c>
      <c r="F225" s="467"/>
      <c r="G225" s="480" t="s">
        <v>229</v>
      </c>
      <c r="H225" s="464"/>
      <c r="I225" s="481" t="s">
        <v>151</v>
      </c>
      <c r="J225" s="507" t="s">
        <v>481</v>
      </c>
      <c r="K225" s="477"/>
      <c r="L225" s="892">
        <f>1.02*8080</f>
        <v>8241.6</v>
      </c>
      <c r="M225" s="678">
        <f>L225*1.25</f>
        <v>10302</v>
      </c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</row>
    <row r="226" spans="1:228" s="52" customFormat="1" ht="23.25" customHeight="1">
      <c r="A226" s="421"/>
      <c r="B226" s="499"/>
      <c r="C226" s="515"/>
      <c r="D226" s="500" t="s">
        <v>288</v>
      </c>
      <c r="E226" s="501"/>
      <c r="F226" s="502"/>
      <c r="G226" s="503"/>
      <c r="H226" s="502"/>
      <c r="I226" s="504"/>
      <c r="J226" s="505"/>
      <c r="K226" s="506"/>
      <c r="L226" s="892"/>
      <c r="M226" s="677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228" ht="22.5" customHeight="1">
      <c r="A227" s="421"/>
      <c r="B227" s="463" t="s">
        <v>1365</v>
      </c>
      <c r="C227" s="464" t="s">
        <v>96</v>
      </c>
      <c r="D227" s="465" t="s">
        <v>1374</v>
      </c>
      <c r="E227" s="466" t="s">
        <v>368</v>
      </c>
      <c r="F227" s="542" t="s">
        <v>1351</v>
      </c>
      <c r="G227" s="513" t="s">
        <v>1366</v>
      </c>
      <c r="H227" s="479" t="s">
        <v>145</v>
      </c>
      <c r="I227" s="481" t="s">
        <v>48</v>
      </c>
      <c r="J227" s="481"/>
      <c r="K227" s="590"/>
      <c r="L227" s="892">
        <f>1.02*3900</f>
        <v>3978</v>
      </c>
      <c r="M227" s="678">
        <f t="shared" ref="M227:M251" si="12">L227*1.25</f>
        <v>4972.5</v>
      </c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</row>
    <row r="228" spans="1:228" ht="33.75" customHeight="1">
      <c r="A228" s="421"/>
      <c r="B228" s="463" t="s">
        <v>1443</v>
      </c>
      <c r="C228" s="464" t="s">
        <v>103</v>
      </c>
      <c r="D228" s="465" t="s">
        <v>1556</v>
      </c>
      <c r="E228" s="466" t="s">
        <v>368</v>
      </c>
      <c r="F228" s="542" t="s">
        <v>1351</v>
      </c>
      <c r="G228" s="513" t="s">
        <v>103</v>
      </c>
      <c r="H228" s="479" t="s">
        <v>145</v>
      </c>
      <c r="I228" s="481" t="s">
        <v>248</v>
      </c>
      <c r="J228" s="481"/>
      <c r="K228" s="590"/>
      <c r="L228" s="892">
        <f>1.02*5200</f>
        <v>5304</v>
      </c>
      <c r="M228" s="678">
        <f t="shared" si="12"/>
        <v>6630</v>
      </c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</row>
    <row r="229" spans="1:228" ht="39" customHeight="1">
      <c r="A229" s="421"/>
      <c r="B229" s="463" t="s">
        <v>981</v>
      </c>
      <c r="C229" s="464" t="s">
        <v>96</v>
      </c>
      <c r="D229" s="687" t="s">
        <v>755</v>
      </c>
      <c r="E229" s="466" t="s">
        <v>658</v>
      </c>
      <c r="F229" s="467"/>
      <c r="G229" s="513" t="s">
        <v>206</v>
      </c>
      <c r="H229" s="620"/>
      <c r="I229" s="481" t="s">
        <v>151</v>
      </c>
      <c r="J229" s="481"/>
      <c r="K229" s="590" t="s">
        <v>548</v>
      </c>
      <c r="L229" s="892">
        <f>1.02*14080</f>
        <v>14361.6</v>
      </c>
      <c r="M229" s="678">
        <f t="shared" si="12"/>
        <v>17952</v>
      </c>
      <c r="AJ229" s="2"/>
      <c r="AK229" s="2"/>
      <c r="AL229" s="2"/>
      <c r="AM229" s="2"/>
    </row>
    <row r="230" spans="1:228" ht="37.5" customHeight="1">
      <c r="A230" s="421"/>
      <c r="B230" s="463" t="s">
        <v>982</v>
      </c>
      <c r="C230" s="464" t="s">
        <v>96</v>
      </c>
      <c r="D230" s="687" t="s">
        <v>755</v>
      </c>
      <c r="E230" s="466" t="s">
        <v>658</v>
      </c>
      <c r="F230" s="467"/>
      <c r="G230" s="513" t="s">
        <v>206</v>
      </c>
      <c r="H230" s="620"/>
      <c r="I230" s="481" t="s">
        <v>151</v>
      </c>
      <c r="J230" s="481"/>
      <c r="K230" s="590" t="s">
        <v>7</v>
      </c>
      <c r="L230" s="892">
        <f>1.02*13040</f>
        <v>13300.800000000001</v>
      </c>
      <c r="M230" s="678">
        <f t="shared" si="12"/>
        <v>16626</v>
      </c>
      <c r="AJ230" s="2"/>
      <c r="AK230" s="2"/>
      <c r="AL230" s="2"/>
      <c r="AM230" s="2"/>
    </row>
    <row r="231" spans="1:228" ht="36.75" customHeight="1">
      <c r="A231" s="421"/>
      <c r="B231" s="688" t="s">
        <v>1375</v>
      </c>
      <c r="C231" s="566" t="s">
        <v>96</v>
      </c>
      <c r="D231" s="485" t="s">
        <v>1557</v>
      </c>
      <c r="E231" s="486" t="s">
        <v>648</v>
      </c>
      <c r="F231" s="542" t="s">
        <v>1351</v>
      </c>
      <c r="G231" s="683" t="s">
        <v>1367</v>
      </c>
      <c r="H231" s="474"/>
      <c r="I231" s="481" t="s">
        <v>1368</v>
      </c>
      <c r="J231" s="481"/>
      <c r="K231" s="590" t="s">
        <v>548</v>
      </c>
      <c r="L231" s="892">
        <f>1.02*15300</f>
        <v>15606</v>
      </c>
      <c r="M231" s="678">
        <f t="shared" si="12"/>
        <v>19507.5</v>
      </c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</row>
    <row r="232" spans="1:228" ht="43.5" customHeight="1">
      <c r="A232" s="421"/>
      <c r="B232" s="463" t="s">
        <v>983</v>
      </c>
      <c r="C232" s="464" t="s">
        <v>96</v>
      </c>
      <c r="D232" s="465" t="s">
        <v>754</v>
      </c>
      <c r="E232" s="466" t="s">
        <v>658</v>
      </c>
      <c r="F232" s="467"/>
      <c r="G232" s="513" t="s">
        <v>206</v>
      </c>
      <c r="H232" s="479"/>
      <c r="I232" s="481" t="s">
        <v>151</v>
      </c>
      <c r="J232" s="481"/>
      <c r="K232" s="590"/>
      <c r="L232" s="892">
        <f>1.02*6400</f>
        <v>6528</v>
      </c>
      <c r="M232" s="678">
        <f t="shared" si="12"/>
        <v>8160</v>
      </c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</row>
    <row r="233" spans="1:228" ht="33.75" customHeight="1">
      <c r="A233" s="421"/>
      <c r="B233" s="463" t="s">
        <v>984</v>
      </c>
      <c r="C233" s="464" t="s">
        <v>92</v>
      </c>
      <c r="D233" s="465" t="s">
        <v>491</v>
      </c>
      <c r="E233" s="466" t="s">
        <v>657</v>
      </c>
      <c r="F233" s="467"/>
      <c r="G233" s="468" t="s">
        <v>243</v>
      </c>
      <c r="H233" s="526"/>
      <c r="I233" s="528" t="s">
        <v>248</v>
      </c>
      <c r="J233" s="471"/>
      <c r="K233" s="590" t="s">
        <v>7</v>
      </c>
      <c r="L233" s="892">
        <f>1.02*14450</f>
        <v>14739</v>
      </c>
      <c r="M233" s="678">
        <f t="shared" si="12"/>
        <v>18423.75</v>
      </c>
      <c r="AJ233" s="2"/>
      <c r="AK233" s="2"/>
      <c r="AL233" s="2"/>
      <c r="AM233" s="2"/>
    </row>
    <row r="234" spans="1:228" ht="77.25" customHeight="1">
      <c r="A234" s="421"/>
      <c r="B234" s="463" t="s">
        <v>985</v>
      </c>
      <c r="C234" s="464" t="s">
        <v>92</v>
      </c>
      <c r="D234" s="465" t="s">
        <v>1558</v>
      </c>
      <c r="E234" s="466" t="s">
        <v>657</v>
      </c>
      <c r="F234" s="483"/>
      <c r="G234" s="468" t="s">
        <v>243</v>
      </c>
      <c r="H234" s="526"/>
      <c r="I234" s="528" t="s">
        <v>151</v>
      </c>
      <c r="J234" s="471"/>
      <c r="K234" s="590" t="s">
        <v>7</v>
      </c>
      <c r="L234" s="892">
        <f>1.02*14660</f>
        <v>14953.2</v>
      </c>
      <c r="M234" s="678">
        <f t="shared" si="12"/>
        <v>18691.5</v>
      </c>
      <c r="AJ234" s="2"/>
      <c r="AK234" s="2"/>
      <c r="AL234" s="2"/>
      <c r="AM234" s="2"/>
    </row>
    <row r="235" spans="1:228" ht="46.5" customHeight="1">
      <c r="A235" s="421"/>
      <c r="B235" s="463" t="s">
        <v>986</v>
      </c>
      <c r="C235" s="464" t="s">
        <v>96</v>
      </c>
      <c r="D235" s="687" t="s">
        <v>422</v>
      </c>
      <c r="E235" s="466" t="s">
        <v>43</v>
      </c>
      <c r="F235" s="467"/>
      <c r="G235" s="473" t="s">
        <v>206</v>
      </c>
      <c r="H235" s="469"/>
      <c r="I235" s="528" t="s">
        <v>159</v>
      </c>
      <c r="J235" s="528"/>
      <c r="K235" s="477"/>
      <c r="L235" s="892">
        <f>1.02*7290</f>
        <v>7435.8</v>
      </c>
      <c r="M235" s="678">
        <f t="shared" si="12"/>
        <v>9294.75</v>
      </c>
      <c r="AJ235" s="2"/>
      <c r="AK235" s="2"/>
      <c r="AL235" s="2"/>
      <c r="AM235" s="2"/>
    </row>
    <row r="236" spans="1:228" ht="87" customHeight="1">
      <c r="A236" s="421"/>
      <c r="B236" s="463" t="s">
        <v>1214</v>
      </c>
      <c r="C236" s="464" t="s">
        <v>92</v>
      </c>
      <c r="D236" s="465" t="s">
        <v>1559</v>
      </c>
      <c r="E236" s="466" t="s">
        <v>117</v>
      </c>
      <c r="F236" s="483"/>
      <c r="G236" s="468"/>
      <c r="H236" s="526"/>
      <c r="I236" s="528" t="s">
        <v>160</v>
      </c>
      <c r="J236" s="471"/>
      <c r="K236" s="590"/>
      <c r="L236" s="892">
        <f>1.02*8130</f>
        <v>8292.6</v>
      </c>
      <c r="M236" s="678">
        <f t="shared" si="12"/>
        <v>10365.75</v>
      </c>
      <c r="AJ236" s="2"/>
      <c r="AK236" s="2"/>
      <c r="AL236" s="2"/>
      <c r="AM236" s="2"/>
    </row>
    <row r="237" spans="1:228" s="4" customFormat="1" ht="30" customHeight="1">
      <c r="A237" s="421"/>
      <c r="B237" s="484" t="s">
        <v>1398</v>
      </c>
      <c r="C237" s="464" t="s">
        <v>96</v>
      </c>
      <c r="D237" s="485" t="s">
        <v>1560</v>
      </c>
      <c r="E237" s="486" t="s">
        <v>1360</v>
      </c>
      <c r="F237" s="542" t="s">
        <v>1351</v>
      </c>
      <c r="G237" s="683" t="s">
        <v>1399</v>
      </c>
      <c r="H237" s="474"/>
      <c r="I237" s="481" t="s">
        <v>802</v>
      </c>
      <c r="J237" s="507" t="s">
        <v>481</v>
      </c>
      <c r="K237" s="590"/>
      <c r="L237" s="892">
        <f>1.02*8400</f>
        <v>8568</v>
      </c>
      <c r="M237" s="680">
        <f t="shared" si="12"/>
        <v>10710</v>
      </c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</row>
    <row r="238" spans="1:228" s="4" customFormat="1" ht="22.5" customHeight="1">
      <c r="A238" s="421"/>
      <c r="B238" s="463" t="s">
        <v>1364</v>
      </c>
      <c r="C238" s="464" t="s">
        <v>96</v>
      </c>
      <c r="D238" s="465" t="s">
        <v>1373</v>
      </c>
      <c r="E238" s="466" t="s">
        <v>117</v>
      </c>
      <c r="F238" s="542" t="s">
        <v>1351</v>
      </c>
      <c r="G238" s="683" t="s">
        <v>1366</v>
      </c>
      <c r="H238" s="474" t="s">
        <v>145</v>
      </c>
      <c r="I238" s="481" t="s">
        <v>48</v>
      </c>
      <c r="J238" s="481"/>
      <c r="K238" s="590"/>
      <c r="L238" s="892">
        <f>1.02*4950</f>
        <v>5049</v>
      </c>
      <c r="M238" s="678">
        <f t="shared" si="12"/>
        <v>6311.25</v>
      </c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</row>
    <row r="239" spans="1:228" s="4" customFormat="1" ht="40.5" customHeight="1">
      <c r="A239" s="421"/>
      <c r="B239" s="463" t="s">
        <v>1438</v>
      </c>
      <c r="C239" s="464" t="s">
        <v>103</v>
      </c>
      <c r="D239" s="465" t="s">
        <v>1561</v>
      </c>
      <c r="E239" s="466" t="s">
        <v>117</v>
      </c>
      <c r="F239" s="542" t="s">
        <v>1351</v>
      </c>
      <c r="G239" s="683" t="s">
        <v>103</v>
      </c>
      <c r="H239" s="474" t="s">
        <v>145</v>
      </c>
      <c r="I239" s="481" t="s">
        <v>248</v>
      </c>
      <c r="J239" s="481"/>
      <c r="K239" s="590"/>
      <c r="L239" s="892">
        <f>1.02*6700</f>
        <v>6834</v>
      </c>
      <c r="M239" s="678">
        <f t="shared" si="12"/>
        <v>8542.5</v>
      </c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</row>
    <row r="240" spans="1:228" ht="39.75" customHeight="1">
      <c r="A240" s="421"/>
      <c r="B240" s="463" t="s">
        <v>987</v>
      </c>
      <c r="C240" s="464" t="s">
        <v>96</v>
      </c>
      <c r="D240" s="687" t="s">
        <v>419</v>
      </c>
      <c r="E240" s="466" t="s">
        <v>52</v>
      </c>
      <c r="F240" s="467"/>
      <c r="G240" s="473" t="s">
        <v>206</v>
      </c>
      <c r="H240" s="469"/>
      <c r="I240" s="528" t="s">
        <v>159</v>
      </c>
      <c r="J240" s="528"/>
      <c r="K240" s="477"/>
      <c r="L240" s="892">
        <f>1.02*7160</f>
        <v>7303.2</v>
      </c>
      <c r="M240" s="678">
        <f t="shared" si="12"/>
        <v>9129</v>
      </c>
      <c r="AJ240" s="2"/>
      <c r="AK240" s="2"/>
      <c r="AL240" s="2"/>
      <c r="AM240" s="2"/>
    </row>
    <row r="241" spans="1:228" ht="37.5" customHeight="1">
      <c r="A241" s="421"/>
      <c r="B241" s="463" t="s">
        <v>988</v>
      </c>
      <c r="C241" s="464" t="s">
        <v>96</v>
      </c>
      <c r="D241" s="687" t="s">
        <v>419</v>
      </c>
      <c r="E241" s="466" t="s">
        <v>757</v>
      </c>
      <c r="F241" s="467"/>
      <c r="G241" s="473" t="s">
        <v>206</v>
      </c>
      <c r="H241" s="469"/>
      <c r="I241" s="528" t="s">
        <v>159</v>
      </c>
      <c r="J241" s="528"/>
      <c r="K241" s="590" t="s">
        <v>548</v>
      </c>
      <c r="L241" s="892">
        <f>1.02*14550</f>
        <v>14841</v>
      </c>
      <c r="M241" s="678">
        <f t="shared" si="12"/>
        <v>18551.25</v>
      </c>
      <c r="AJ241" s="2"/>
      <c r="AK241" s="2"/>
      <c r="AL241" s="2"/>
      <c r="AM241" s="2"/>
    </row>
    <row r="242" spans="1:228" ht="40.5" customHeight="1">
      <c r="A242" s="421"/>
      <c r="B242" s="463" t="s">
        <v>989</v>
      </c>
      <c r="C242" s="464" t="s">
        <v>92</v>
      </c>
      <c r="D242" s="465" t="s">
        <v>73</v>
      </c>
      <c r="E242" s="466" t="s">
        <v>117</v>
      </c>
      <c r="F242" s="467"/>
      <c r="G242" s="682"/>
      <c r="H242" s="646" t="s">
        <v>145</v>
      </c>
      <c r="I242" s="481" t="s">
        <v>248</v>
      </c>
      <c r="J242" s="481"/>
      <c r="K242" s="590"/>
      <c r="L242" s="892">
        <f>1.02*5730</f>
        <v>5844.6</v>
      </c>
      <c r="M242" s="678">
        <f t="shared" si="12"/>
        <v>7305.75</v>
      </c>
      <c r="AJ242" s="2"/>
      <c r="AK242" s="2"/>
      <c r="AL242" s="2"/>
      <c r="AM242" s="2"/>
    </row>
    <row r="243" spans="1:228" ht="37.5" customHeight="1">
      <c r="A243" s="421"/>
      <c r="B243" s="463" t="s">
        <v>990</v>
      </c>
      <c r="C243" s="464" t="s">
        <v>96</v>
      </c>
      <c r="D243" s="465" t="s">
        <v>72</v>
      </c>
      <c r="E243" s="466" t="s">
        <v>117</v>
      </c>
      <c r="F243" s="467"/>
      <c r="G243" s="480" t="s">
        <v>186</v>
      </c>
      <c r="H243" s="595"/>
      <c r="I243" s="481" t="s">
        <v>151</v>
      </c>
      <c r="J243" s="481"/>
      <c r="K243" s="590" t="s">
        <v>548</v>
      </c>
      <c r="L243" s="892">
        <f>1.02*14990</f>
        <v>15289.800000000001</v>
      </c>
      <c r="M243" s="678">
        <f t="shared" si="12"/>
        <v>19112.25</v>
      </c>
      <c r="AJ243" s="2"/>
      <c r="AK243" s="2"/>
      <c r="AL243" s="2"/>
      <c r="AM243" s="2"/>
    </row>
    <row r="244" spans="1:228" ht="36" customHeight="1">
      <c r="A244" s="421"/>
      <c r="B244" s="463" t="s">
        <v>991</v>
      </c>
      <c r="C244" s="464" t="s">
        <v>96</v>
      </c>
      <c r="D244" s="465" t="s">
        <v>420</v>
      </c>
      <c r="E244" s="466" t="s">
        <v>117</v>
      </c>
      <c r="F244" s="467"/>
      <c r="G244" s="480" t="s">
        <v>186</v>
      </c>
      <c r="H244" s="595"/>
      <c r="I244" s="481" t="s">
        <v>151</v>
      </c>
      <c r="J244" s="481"/>
      <c r="K244" s="477"/>
      <c r="L244" s="892">
        <f>1.02*7220</f>
        <v>7364.4000000000005</v>
      </c>
      <c r="M244" s="678">
        <f t="shared" si="12"/>
        <v>9205.5</v>
      </c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</row>
    <row r="245" spans="1:228" s="4" customFormat="1" ht="41.25" customHeight="1">
      <c r="A245" s="421"/>
      <c r="B245" s="463" t="s">
        <v>992</v>
      </c>
      <c r="C245" s="464" t="s">
        <v>96</v>
      </c>
      <c r="D245" s="465" t="s">
        <v>420</v>
      </c>
      <c r="E245" s="466" t="s">
        <v>117</v>
      </c>
      <c r="F245" s="467"/>
      <c r="G245" s="683" t="s">
        <v>186</v>
      </c>
      <c r="H245" s="689"/>
      <c r="I245" s="481" t="s">
        <v>151</v>
      </c>
      <c r="J245" s="481"/>
      <c r="K245" s="590" t="s">
        <v>7</v>
      </c>
      <c r="L245" s="892">
        <f>1.02*13920</f>
        <v>14198.4</v>
      </c>
      <c r="M245" s="678">
        <f t="shared" si="12"/>
        <v>17748</v>
      </c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</row>
    <row r="246" spans="1:228" s="4" customFormat="1" ht="56.25" customHeight="1">
      <c r="A246" s="421"/>
      <c r="B246" s="565" t="s">
        <v>993</v>
      </c>
      <c r="C246" s="566" t="s">
        <v>92</v>
      </c>
      <c r="D246" s="567" t="s">
        <v>1562</v>
      </c>
      <c r="E246" s="577" t="s">
        <v>117</v>
      </c>
      <c r="F246" s="483"/>
      <c r="G246" s="683" t="s">
        <v>243</v>
      </c>
      <c r="H246" s="474"/>
      <c r="I246" s="481" t="s">
        <v>160</v>
      </c>
      <c r="J246" s="481"/>
      <c r="K246" s="590" t="s">
        <v>7</v>
      </c>
      <c r="L246" s="892">
        <f>1.02*13860</f>
        <v>14137.2</v>
      </c>
      <c r="M246" s="678">
        <f t="shared" si="12"/>
        <v>17671.5</v>
      </c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</row>
    <row r="247" spans="1:228" s="4" customFormat="1" ht="45.75" customHeight="1">
      <c r="A247" s="421"/>
      <c r="B247" s="565" t="s">
        <v>994</v>
      </c>
      <c r="C247" s="566" t="s">
        <v>96</v>
      </c>
      <c r="D247" s="567" t="s">
        <v>425</v>
      </c>
      <c r="E247" s="577" t="s">
        <v>289</v>
      </c>
      <c r="F247" s="690"/>
      <c r="G247" s="560" t="s">
        <v>206</v>
      </c>
      <c r="H247" s="469"/>
      <c r="I247" s="528" t="s">
        <v>151</v>
      </c>
      <c r="J247" s="528"/>
      <c r="K247" s="477"/>
      <c r="L247" s="892">
        <f>1.02*7220</f>
        <v>7364.4000000000005</v>
      </c>
      <c r="M247" s="678">
        <f t="shared" si="12"/>
        <v>9205.5</v>
      </c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</row>
    <row r="248" spans="1:228" s="4" customFormat="1" ht="57" customHeight="1">
      <c r="A248" s="421"/>
      <c r="B248" s="463" t="s">
        <v>995</v>
      </c>
      <c r="C248" s="464" t="s">
        <v>96</v>
      </c>
      <c r="D248" s="465" t="s">
        <v>424</v>
      </c>
      <c r="E248" s="466" t="s">
        <v>43</v>
      </c>
      <c r="F248" s="690"/>
      <c r="G248" s="560" t="s">
        <v>206</v>
      </c>
      <c r="H248" s="469"/>
      <c r="I248" s="528" t="s">
        <v>151</v>
      </c>
      <c r="J248" s="528"/>
      <c r="K248" s="477"/>
      <c r="L248" s="892">
        <f>1.02*7220</f>
        <v>7364.4000000000005</v>
      </c>
      <c r="M248" s="678">
        <f t="shared" si="12"/>
        <v>9205.5</v>
      </c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</row>
    <row r="249" spans="1:228" s="4" customFormat="1" ht="39.75" customHeight="1">
      <c r="A249" s="421"/>
      <c r="B249" s="463" t="s">
        <v>996</v>
      </c>
      <c r="C249" s="464" t="s">
        <v>96</v>
      </c>
      <c r="D249" s="465" t="s">
        <v>424</v>
      </c>
      <c r="E249" s="466" t="s">
        <v>43</v>
      </c>
      <c r="F249" s="690"/>
      <c r="G249" s="560" t="s">
        <v>206</v>
      </c>
      <c r="H249" s="469"/>
      <c r="I249" s="528" t="s">
        <v>151</v>
      </c>
      <c r="J249" s="528"/>
      <c r="K249" s="590" t="s">
        <v>548</v>
      </c>
      <c r="L249" s="892">
        <f>1.02*14350</f>
        <v>14637</v>
      </c>
      <c r="M249" s="685">
        <f t="shared" si="12"/>
        <v>18296.25</v>
      </c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</row>
    <row r="250" spans="1:228" s="4" customFormat="1" ht="30" customHeight="1">
      <c r="A250" s="421"/>
      <c r="B250" s="565" t="s">
        <v>997</v>
      </c>
      <c r="C250" s="566" t="s">
        <v>92</v>
      </c>
      <c r="D250" s="567" t="s">
        <v>756</v>
      </c>
      <c r="E250" s="577" t="s">
        <v>43</v>
      </c>
      <c r="F250" s="467"/>
      <c r="G250" s="560" t="s">
        <v>243</v>
      </c>
      <c r="H250" s="464"/>
      <c r="I250" s="528" t="s">
        <v>161</v>
      </c>
      <c r="J250" s="471"/>
      <c r="K250" s="590" t="s">
        <v>7</v>
      </c>
      <c r="L250" s="892">
        <f>1.02*11690</f>
        <v>11923.800000000001</v>
      </c>
      <c r="M250" s="678">
        <f t="shared" si="12"/>
        <v>14904.750000000002</v>
      </c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</row>
    <row r="251" spans="1:228" s="4" customFormat="1" ht="30" customHeight="1">
      <c r="A251" s="421"/>
      <c r="B251" s="565" t="s">
        <v>998</v>
      </c>
      <c r="C251" s="566" t="s">
        <v>96</v>
      </c>
      <c r="D251" s="567" t="s">
        <v>440</v>
      </c>
      <c r="E251" s="577" t="s">
        <v>27</v>
      </c>
      <c r="F251" s="690"/>
      <c r="G251" s="683" t="s">
        <v>224</v>
      </c>
      <c r="H251" s="691"/>
      <c r="I251" s="481" t="s">
        <v>151</v>
      </c>
      <c r="J251" s="507"/>
      <c r="K251" s="590"/>
      <c r="L251" s="892">
        <f>1.02*7240</f>
        <v>7384.8</v>
      </c>
      <c r="M251" s="678">
        <f t="shared" si="12"/>
        <v>9231</v>
      </c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</row>
    <row r="252" spans="1:228" ht="18.75" customHeight="1">
      <c r="A252" s="421"/>
      <c r="B252" s="536"/>
      <c r="C252" s="537"/>
      <c r="D252" s="692" t="s">
        <v>4</v>
      </c>
      <c r="E252" s="539"/>
      <c r="F252" s="540"/>
      <c r="G252" s="693"/>
      <c r="H252" s="694"/>
      <c r="I252" s="643"/>
      <c r="J252" s="643"/>
      <c r="K252" s="695"/>
      <c r="L252" s="892"/>
      <c r="M252" s="508"/>
      <c r="AJ252" s="2"/>
      <c r="AK252" s="2"/>
      <c r="AL252" s="2"/>
      <c r="AM252" s="2"/>
    </row>
    <row r="253" spans="1:228" s="6" customFormat="1" ht="25.5" customHeight="1">
      <c r="A253" s="421"/>
      <c r="B253" s="463" t="s">
        <v>999</v>
      </c>
      <c r="C253" s="464" t="s">
        <v>96</v>
      </c>
      <c r="D253" s="687" t="s">
        <v>759</v>
      </c>
      <c r="E253" s="466" t="s">
        <v>140</v>
      </c>
      <c r="F253" s="467"/>
      <c r="G253" s="683" t="s">
        <v>423</v>
      </c>
      <c r="H253" s="691"/>
      <c r="I253" s="528" t="s">
        <v>149</v>
      </c>
      <c r="J253" s="471"/>
      <c r="K253" s="590"/>
      <c r="L253" s="892">
        <f>1.02*4170</f>
        <v>4253.3999999999996</v>
      </c>
      <c r="M253" s="508">
        <f t="shared" ref="M253:M258" si="13">L253*1.25</f>
        <v>5316.75</v>
      </c>
    </row>
    <row r="254" spans="1:228" s="6" customFormat="1" ht="27" customHeight="1">
      <c r="A254" s="421"/>
      <c r="B254" s="463" t="s">
        <v>1000</v>
      </c>
      <c r="C254" s="464" t="s">
        <v>96</v>
      </c>
      <c r="D254" s="687" t="s">
        <v>758</v>
      </c>
      <c r="E254" s="466" t="s">
        <v>117</v>
      </c>
      <c r="F254" s="467"/>
      <c r="G254" s="683" t="s">
        <v>192</v>
      </c>
      <c r="H254" s="691"/>
      <c r="I254" s="528" t="s">
        <v>483</v>
      </c>
      <c r="J254" s="471"/>
      <c r="K254" s="590"/>
      <c r="L254" s="892">
        <f>1.02*4170</f>
        <v>4253.3999999999996</v>
      </c>
      <c r="M254" s="508">
        <f t="shared" si="13"/>
        <v>5316.75</v>
      </c>
    </row>
    <row r="255" spans="1:228" s="6" customFormat="1" ht="27" customHeight="1">
      <c r="A255" s="421"/>
      <c r="B255" s="463" t="s">
        <v>1001</v>
      </c>
      <c r="C255" s="464" t="s">
        <v>96</v>
      </c>
      <c r="D255" s="687" t="s">
        <v>1563</v>
      </c>
      <c r="E255" s="466" t="s">
        <v>648</v>
      </c>
      <c r="F255" s="483"/>
      <c r="G255" s="683" t="s">
        <v>546</v>
      </c>
      <c r="H255" s="691"/>
      <c r="I255" s="528" t="s">
        <v>148</v>
      </c>
      <c r="J255" s="471"/>
      <c r="K255" s="590"/>
      <c r="L255" s="892">
        <f>1.02*4170</f>
        <v>4253.3999999999996</v>
      </c>
      <c r="M255" s="508">
        <f t="shared" si="13"/>
        <v>5316.75</v>
      </c>
    </row>
    <row r="256" spans="1:228" s="6" customFormat="1" ht="27" customHeight="1">
      <c r="A256" s="421"/>
      <c r="B256" s="463" t="s">
        <v>1002</v>
      </c>
      <c r="C256" s="464" t="s">
        <v>96</v>
      </c>
      <c r="D256" s="687" t="s">
        <v>1564</v>
      </c>
      <c r="E256" s="466" t="s">
        <v>140</v>
      </c>
      <c r="F256" s="467"/>
      <c r="G256" s="683" t="s">
        <v>385</v>
      </c>
      <c r="H256" s="689"/>
      <c r="I256" s="528" t="s">
        <v>164</v>
      </c>
      <c r="J256" s="528"/>
      <c r="K256" s="590"/>
      <c r="L256" s="892">
        <f>1.02*4080</f>
        <v>4161.6000000000004</v>
      </c>
      <c r="M256" s="508">
        <f t="shared" si="13"/>
        <v>5202</v>
      </c>
    </row>
    <row r="257" spans="1:223" s="6" customFormat="1" ht="27" customHeight="1">
      <c r="A257" s="421"/>
      <c r="B257" s="463" t="s">
        <v>1297</v>
      </c>
      <c r="C257" s="464" t="s">
        <v>96</v>
      </c>
      <c r="D257" s="687" t="s">
        <v>1565</v>
      </c>
      <c r="E257" s="466" t="s">
        <v>1229</v>
      </c>
      <c r="F257" s="483"/>
      <c r="G257" s="683" t="s">
        <v>1296</v>
      </c>
      <c r="H257" s="691"/>
      <c r="I257" s="528" t="s">
        <v>151</v>
      </c>
      <c r="J257" s="471"/>
      <c r="K257" s="590"/>
      <c r="L257" s="892">
        <f>1.02*4370</f>
        <v>4457.3999999999996</v>
      </c>
      <c r="M257" s="508">
        <f t="shared" si="13"/>
        <v>5571.75</v>
      </c>
    </row>
    <row r="258" spans="1:223" s="6" customFormat="1" ht="24.75" customHeight="1">
      <c r="A258" s="421"/>
      <c r="B258" s="463" t="s">
        <v>1003</v>
      </c>
      <c r="C258" s="464" t="s">
        <v>96</v>
      </c>
      <c r="D258" s="687" t="s">
        <v>1566</v>
      </c>
      <c r="E258" s="466" t="s">
        <v>437</v>
      </c>
      <c r="F258" s="483"/>
      <c r="G258" s="683" t="s">
        <v>551</v>
      </c>
      <c r="H258" s="691"/>
      <c r="I258" s="528" t="s">
        <v>247</v>
      </c>
      <c r="J258" s="471"/>
      <c r="K258" s="590"/>
      <c r="L258" s="892">
        <f>1.02*6470</f>
        <v>6599.4000000000005</v>
      </c>
      <c r="M258" s="508">
        <f t="shared" si="13"/>
        <v>8249.25</v>
      </c>
    </row>
    <row r="259" spans="1:223" s="52" customFormat="1" ht="16.5" customHeight="1">
      <c r="A259" s="421"/>
      <c r="B259" s="499"/>
      <c r="C259" s="515"/>
      <c r="D259" s="500" t="s">
        <v>290</v>
      </c>
      <c r="E259" s="501"/>
      <c r="F259" s="502"/>
      <c r="G259" s="503"/>
      <c r="H259" s="502"/>
      <c r="I259" s="504"/>
      <c r="J259" s="505"/>
      <c r="K259" s="506"/>
      <c r="L259" s="892"/>
      <c r="M259" s="508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223" ht="71.25" customHeight="1">
      <c r="A260" s="421"/>
      <c r="B260" s="463" t="s">
        <v>891</v>
      </c>
      <c r="C260" s="464" t="s">
        <v>96</v>
      </c>
      <c r="D260" s="465" t="s">
        <v>1276</v>
      </c>
      <c r="E260" s="466" t="s">
        <v>1277</v>
      </c>
      <c r="F260" s="467"/>
      <c r="G260" s="480" t="s">
        <v>445</v>
      </c>
      <c r="H260" s="622" t="s">
        <v>145</v>
      </c>
      <c r="I260" s="475" t="s">
        <v>446</v>
      </c>
      <c r="J260" s="521" t="s">
        <v>481</v>
      </c>
      <c r="K260" s="590"/>
      <c r="L260" s="892">
        <f>1.02*5980</f>
        <v>6099.6</v>
      </c>
      <c r="M260" s="508">
        <f t="shared" ref="M260:M273" si="14">L260*1.25</f>
        <v>7624.5</v>
      </c>
      <c r="AJ260" s="2"/>
      <c r="AK260" s="2"/>
      <c r="AL260" s="2"/>
      <c r="AM260" s="2"/>
    </row>
    <row r="261" spans="1:223" ht="27" customHeight="1">
      <c r="A261" s="421"/>
      <c r="B261" s="463" t="s">
        <v>1004</v>
      </c>
      <c r="C261" s="464" t="s">
        <v>96</v>
      </c>
      <c r="D261" s="465" t="s">
        <v>1567</v>
      </c>
      <c r="E261" s="466" t="s">
        <v>586</v>
      </c>
      <c r="F261" s="603"/>
      <c r="G261" s="696" t="s">
        <v>65</v>
      </c>
      <c r="H261" s="474"/>
      <c r="I261" s="475" t="s">
        <v>163</v>
      </c>
      <c r="J261" s="475"/>
      <c r="K261" s="477"/>
      <c r="L261" s="892">
        <f>1.02*5450</f>
        <v>5559</v>
      </c>
      <c r="M261" s="508">
        <f t="shared" si="14"/>
        <v>6948.75</v>
      </c>
      <c r="AJ261" s="2"/>
      <c r="AK261" s="2"/>
      <c r="AL261" s="2"/>
      <c r="AM261" s="2"/>
    </row>
    <row r="262" spans="1:223" ht="26.25" customHeight="1">
      <c r="A262" s="421"/>
      <c r="B262" s="463" t="s">
        <v>1005</v>
      </c>
      <c r="C262" s="464" t="s">
        <v>96</v>
      </c>
      <c r="D262" s="465" t="s">
        <v>760</v>
      </c>
      <c r="E262" s="466" t="s">
        <v>292</v>
      </c>
      <c r="F262" s="467"/>
      <c r="G262" s="468" t="s">
        <v>207</v>
      </c>
      <c r="H262" s="474" t="s">
        <v>145</v>
      </c>
      <c r="I262" s="618" t="s">
        <v>151</v>
      </c>
      <c r="J262" s="618"/>
      <c r="K262" s="471"/>
      <c r="L262" s="892">
        <f>1.02*6890</f>
        <v>7027.8</v>
      </c>
      <c r="M262" s="508">
        <f t="shared" si="14"/>
        <v>8784.75</v>
      </c>
      <c r="AJ262" s="2"/>
      <c r="AK262" s="2"/>
      <c r="AL262" s="2"/>
      <c r="AM262" s="2"/>
    </row>
    <row r="263" spans="1:223" ht="24.75" customHeight="1">
      <c r="A263" s="421"/>
      <c r="B263" s="463" t="s">
        <v>1006</v>
      </c>
      <c r="C263" s="464" t="s">
        <v>96</v>
      </c>
      <c r="D263" s="465" t="s">
        <v>1568</v>
      </c>
      <c r="E263" s="466" t="s">
        <v>558</v>
      </c>
      <c r="F263" s="467"/>
      <c r="G263" s="696" t="s">
        <v>187</v>
      </c>
      <c r="H263" s="474" t="s">
        <v>145</v>
      </c>
      <c r="I263" s="475" t="s">
        <v>377</v>
      </c>
      <c r="J263" s="475" t="s">
        <v>481</v>
      </c>
      <c r="K263" s="477"/>
      <c r="L263" s="892">
        <f>1.02*5980</f>
        <v>6099.6</v>
      </c>
      <c r="M263" s="508">
        <f t="shared" si="14"/>
        <v>7624.5</v>
      </c>
      <c r="AJ263" s="2"/>
      <c r="AK263" s="2"/>
      <c r="AL263" s="2"/>
      <c r="AM263" s="2"/>
    </row>
    <row r="264" spans="1:223" ht="39" customHeight="1">
      <c r="A264" s="421"/>
      <c r="B264" s="489" t="s">
        <v>901</v>
      </c>
      <c r="C264" s="596" t="s">
        <v>92</v>
      </c>
      <c r="D264" s="491" t="s">
        <v>82</v>
      </c>
      <c r="E264" s="492" t="s">
        <v>84</v>
      </c>
      <c r="F264" s="525"/>
      <c r="G264" s="697" t="s">
        <v>243</v>
      </c>
      <c r="H264" s="495"/>
      <c r="I264" s="630" t="s">
        <v>239</v>
      </c>
      <c r="J264" s="496"/>
      <c r="K264" s="601"/>
      <c r="L264" s="892">
        <v>9300</v>
      </c>
      <c r="M264" s="498">
        <f t="shared" si="14"/>
        <v>11625</v>
      </c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</row>
    <row r="265" spans="1:223" ht="37.5" customHeight="1">
      <c r="A265" s="421"/>
      <c r="B265" s="489" t="s">
        <v>902</v>
      </c>
      <c r="C265" s="596" t="s">
        <v>92</v>
      </c>
      <c r="D265" s="491" t="s">
        <v>85</v>
      </c>
      <c r="E265" s="492" t="s">
        <v>511</v>
      </c>
      <c r="F265" s="525"/>
      <c r="G265" s="494" t="s">
        <v>243</v>
      </c>
      <c r="H265" s="600"/>
      <c r="I265" s="496" t="s">
        <v>161</v>
      </c>
      <c r="J265" s="496"/>
      <c r="K265" s="601"/>
      <c r="L265" s="892">
        <v>8250</v>
      </c>
      <c r="M265" s="498">
        <f t="shared" si="14"/>
        <v>10312.5</v>
      </c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</row>
    <row r="266" spans="1:223" ht="27" customHeight="1">
      <c r="A266" s="421"/>
      <c r="B266" s="463" t="s">
        <v>1007</v>
      </c>
      <c r="C266" s="464" t="s">
        <v>96</v>
      </c>
      <c r="D266" s="465" t="s">
        <v>1569</v>
      </c>
      <c r="E266" s="466" t="s">
        <v>1328</v>
      </c>
      <c r="F266" s="467"/>
      <c r="G266" s="696" t="s">
        <v>184</v>
      </c>
      <c r="H266" s="474" t="s">
        <v>145</v>
      </c>
      <c r="I266" s="481" t="s">
        <v>151</v>
      </c>
      <c r="J266" s="507" t="s">
        <v>481</v>
      </c>
      <c r="K266" s="477"/>
      <c r="L266" s="892">
        <f>1.02*7350</f>
        <v>7497</v>
      </c>
      <c r="M266" s="508">
        <f t="shared" si="14"/>
        <v>9371.25</v>
      </c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</row>
    <row r="267" spans="1:223" ht="27" customHeight="1">
      <c r="A267" s="421"/>
      <c r="B267" s="463" t="s">
        <v>819</v>
      </c>
      <c r="C267" s="464" t="s">
        <v>820</v>
      </c>
      <c r="D267" s="465" t="s">
        <v>1569</v>
      </c>
      <c r="E267" s="466" t="s">
        <v>437</v>
      </c>
      <c r="F267" s="520"/>
      <c r="G267" s="696"/>
      <c r="H267" s="474" t="s">
        <v>145</v>
      </c>
      <c r="I267" s="481" t="s">
        <v>821</v>
      </c>
      <c r="J267" s="507" t="s">
        <v>481</v>
      </c>
      <c r="K267" s="477"/>
      <c r="L267" s="892">
        <f>1.02*10610</f>
        <v>10822.2</v>
      </c>
      <c r="M267" s="508">
        <f t="shared" si="14"/>
        <v>13527.75</v>
      </c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</row>
    <row r="268" spans="1:223" ht="27" customHeight="1">
      <c r="A268" s="421"/>
      <c r="B268" s="463" t="s">
        <v>1354</v>
      </c>
      <c r="C268" s="464" t="s">
        <v>96</v>
      </c>
      <c r="D268" s="465" t="s">
        <v>1569</v>
      </c>
      <c r="E268" s="466" t="s">
        <v>1328</v>
      </c>
      <c r="F268" s="698" t="s">
        <v>1351</v>
      </c>
      <c r="G268" s="468" t="s">
        <v>1355</v>
      </c>
      <c r="H268" s="474"/>
      <c r="I268" s="528" t="s">
        <v>247</v>
      </c>
      <c r="J268" s="507" t="s">
        <v>481</v>
      </c>
      <c r="K268" s="471"/>
      <c r="L268" s="892">
        <f>1.02*8300</f>
        <v>8466</v>
      </c>
      <c r="M268" s="508">
        <f t="shared" si="14"/>
        <v>10582.5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</row>
    <row r="269" spans="1:223" ht="27" customHeight="1">
      <c r="A269" s="421"/>
      <c r="B269" s="463" t="s">
        <v>1008</v>
      </c>
      <c r="C269" s="464" t="s">
        <v>96</v>
      </c>
      <c r="D269" s="465" t="s">
        <v>1570</v>
      </c>
      <c r="E269" s="466" t="s">
        <v>510</v>
      </c>
      <c r="F269" s="467"/>
      <c r="G269" s="696" t="s">
        <v>170</v>
      </c>
      <c r="H269" s="469"/>
      <c r="I269" s="481" t="s">
        <v>234</v>
      </c>
      <c r="J269" s="481" t="s">
        <v>481</v>
      </c>
      <c r="K269" s="477"/>
      <c r="L269" s="892">
        <f>1.02*7220</f>
        <v>7364.4000000000005</v>
      </c>
      <c r="M269" s="508">
        <f t="shared" si="14"/>
        <v>9205.5</v>
      </c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</row>
    <row r="270" spans="1:223" ht="27" customHeight="1">
      <c r="A270" s="421"/>
      <c r="B270" s="463" t="s">
        <v>1010</v>
      </c>
      <c r="C270" s="464" t="s">
        <v>96</v>
      </c>
      <c r="D270" s="465" t="s">
        <v>1571</v>
      </c>
      <c r="E270" s="466" t="s">
        <v>437</v>
      </c>
      <c r="F270" s="483"/>
      <c r="G270" s="696" t="s">
        <v>594</v>
      </c>
      <c r="H270" s="474"/>
      <c r="I270" s="481" t="s">
        <v>163</v>
      </c>
      <c r="J270" s="507" t="s">
        <v>481</v>
      </c>
      <c r="K270" s="477"/>
      <c r="L270" s="892">
        <f>1.02*5840</f>
        <v>5956.8</v>
      </c>
      <c r="M270" s="508">
        <f t="shared" si="14"/>
        <v>7446</v>
      </c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</row>
    <row r="271" spans="1:223" ht="30" customHeight="1">
      <c r="A271" s="421"/>
      <c r="B271" s="463" t="s">
        <v>1009</v>
      </c>
      <c r="C271" s="464" t="s">
        <v>96</v>
      </c>
      <c r="D271" s="465" t="s">
        <v>1572</v>
      </c>
      <c r="E271" s="466" t="s">
        <v>558</v>
      </c>
      <c r="F271" s="467"/>
      <c r="G271" s="696" t="s">
        <v>389</v>
      </c>
      <c r="H271" s="469"/>
      <c r="I271" s="475" t="s">
        <v>163</v>
      </c>
      <c r="J271" s="481" t="s">
        <v>481</v>
      </c>
      <c r="K271" s="477"/>
      <c r="L271" s="892">
        <f>1.02*5840</f>
        <v>5956.8</v>
      </c>
      <c r="M271" s="508">
        <f t="shared" si="14"/>
        <v>7446</v>
      </c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</row>
    <row r="272" spans="1:223" ht="52.5" customHeight="1">
      <c r="A272" s="421"/>
      <c r="B272" s="463" t="s">
        <v>899</v>
      </c>
      <c r="C272" s="464" t="s">
        <v>96</v>
      </c>
      <c r="D272" s="465" t="s">
        <v>413</v>
      </c>
      <c r="E272" s="466" t="s">
        <v>485</v>
      </c>
      <c r="F272" s="467"/>
      <c r="G272" s="468" t="s">
        <v>186</v>
      </c>
      <c r="H272" s="474" t="s">
        <v>145</v>
      </c>
      <c r="I272" s="618" t="s">
        <v>151</v>
      </c>
      <c r="J272" s="528"/>
      <c r="K272" s="471"/>
      <c r="L272" s="892">
        <f>1.02*7160</f>
        <v>7303.2</v>
      </c>
      <c r="M272" s="508">
        <f t="shared" si="14"/>
        <v>9129</v>
      </c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</row>
    <row r="273" spans="1:227" ht="48" customHeight="1">
      <c r="A273" s="421"/>
      <c r="B273" s="463" t="s">
        <v>898</v>
      </c>
      <c r="C273" s="464" t="s">
        <v>96</v>
      </c>
      <c r="D273" s="465" t="s">
        <v>291</v>
      </c>
      <c r="E273" s="466" t="s">
        <v>61</v>
      </c>
      <c r="F273" s="467"/>
      <c r="G273" s="468" t="s">
        <v>188</v>
      </c>
      <c r="H273" s="474" t="s">
        <v>145</v>
      </c>
      <c r="I273" s="618" t="s">
        <v>151</v>
      </c>
      <c r="J273" s="528"/>
      <c r="K273" s="471"/>
      <c r="L273" s="892">
        <f>1.02*6890</f>
        <v>7027.8</v>
      </c>
      <c r="M273" s="508">
        <f t="shared" si="14"/>
        <v>8784.75</v>
      </c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</row>
    <row r="274" spans="1:227" s="52" customFormat="1" ht="27" customHeight="1">
      <c r="A274" s="421"/>
      <c r="B274" s="536"/>
      <c r="C274" s="537"/>
      <c r="D274" s="516" t="s">
        <v>293</v>
      </c>
      <c r="E274" s="536"/>
      <c r="F274" s="607"/>
      <c r="G274" s="503"/>
      <c r="H274" s="607"/>
      <c r="I274" s="504"/>
      <c r="J274" s="504"/>
      <c r="K274" s="519"/>
      <c r="L274" s="892"/>
      <c r="M274" s="508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  <c r="ES274" s="54"/>
      <c r="ET274" s="54"/>
      <c r="EU274" s="54"/>
      <c r="EV274" s="54"/>
      <c r="EW274" s="54"/>
      <c r="EX274" s="54"/>
      <c r="EY274" s="54"/>
      <c r="EZ274" s="54"/>
      <c r="FA274" s="54"/>
      <c r="FB274" s="54"/>
      <c r="FC274" s="54"/>
      <c r="FD274" s="54"/>
      <c r="FE274" s="54"/>
      <c r="FF274" s="54"/>
      <c r="FG274" s="54"/>
      <c r="FH274" s="54"/>
      <c r="FI274" s="54"/>
      <c r="FJ274" s="54"/>
      <c r="FK274" s="54"/>
      <c r="FL274" s="54"/>
      <c r="FM274" s="54"/>
      <c r="FN274" s="54"/>
      <c r="FO274" s="54"/>
      <c r="FP274" s="54"/>
      <c r="FQ274" s="54"/>
      <c r="FR274" s="54"/>
      <c r="FS274" s="54"/>
      <c r="FT274" s="54"/>
      <c r="FU274" s="54"/>
      <c r="FV274" s="54"/>
      <c r="FW274" s="54"/>
      <c r="FX274" s="54"/>
      <c r="FY274" s="54"/>
      <c r="FZ274" s="54"/>
      <c r="GA274" s="54"/>
      <c r="GB274" s="54"/>
      <c r="GC274" s="54"/>
      <c r="GD274" s="54"/>
      <c r="GE274" s="54"/>
      <c r="GF274" s="54"/>
      <c r="GG274" s="54"/>
      <c r="GH274" s="54"/>
      <c r="GI274" s="54"/>
      <c r="GJ274" s="54"/>
      <c r="GK274" s="54"/>
      <c r="GL274" s="54"/>
      <c r="GM274" s="54"/>
      <c r="GN274" s="54"/>
      <c r="GO274" s="54"/>
      <c r="GP274" s="54"/>
      <c r="GQ274" s="54"/>
      <c r="GR274" s="54"/>
      <c r="GS274" s="54"/>
      <c r="GT274" s="54"/>
      <c r="GU274" s="54"/>
      <c r="GV274" s="54"/>
      <c r="GW274" s="54"/>
      <c r="GX274" s="54"/>
      <c r="GY274" s="54"/>
      <c r="GZ274" s="54"/>
      <c r="HA274" s="54"/>
      <c r="HB274" s="54"/>
      <c r="HC274" s="54"/>
      <c r="HD274" s="54"/>
      <c r="HE274" s="54"/>
      <c r="HF274" s="54"/>
      <c r="HG274" s="54"/>
      <c r="HH274" s="54"/>
      <c r="HI274" s="54"/>
      <c r="HJ274" s="54"/>
      <c r="HK274" s="54"/>
      <c r="HL274" s="54"/>
      <c r="HM274" s="54"/>
      <c r="HN274" s="54"/>
      <c r="HO274" s="54"/>
    </row>
    <row r="275" spans="1:227" s="4" customFormat="1" ht="43.5" customHeight="1">
      <c r="A275" s="421"/>
      <c r="B275" s="484" t="s">
        <v>1011</v>
      </c>
      <c r="C275" s="529" t="s">
        <v>96</v>
      </c>
      <c r="D275" s="625" t="s">
        <v>1573</v>
      </c>
      <c r="E275" s="486" t="s">
        <v>64</v>
      </c>
      <c r="F275" s="604"/>
      <c r="G275" s="480" t="s">
        <v>218</v>
      </c>
      <c r="H275" s="479" t="s">
        <v>145</v>
      </c>
      <c r="I275" s="481" t="s">
        <v>151</v>
      </c>
      <c r="J275" s="481" t="s">
        <v>481</v>
      </c>
      <c r="K275" s="482"/>
      <c r="L275" s="892">
        <f>1.02*6450</f>
        <v>6579</v>
      </c>
      <c r="M275" s="508">
        <f t="shared" ref="M275:M280" si="15">L275*1.25</f>
        <v>8223.75</v>
      </c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</row>
    <row r="276" spans="1:227" s="4" customFormat="1" ht="31.5" customHeight="1">
      <c r="A276" s="421"/>
      <c r="B276" s="463" t="s">
        <v>1012</v>
      </c>
      <c r="C276" s="464" t="s">
        <v>143</v>
      </c>
      <c r="D276" s="465" t="s">
        <v>298</v>
      </c>
      <c r="E276" s="466" t="s">
        <v>127</v>
      </c>
      <c r="F276" s="469"/>
      <c r="G276" s="468" t="s">
        <v>208</v>
      </c>
      <c r="H276" s="474" t="s">
        <v>145</v>
      </c>
      <c r="I276" s="528" t="s">
        <v>161</v>
      </c>
      <c r="J276" s="528"/>
      <c r="K276" s="477"/>
      <c r="L276" s="892">
        <f>1.02*5780</f>
        <v>5895.6</v>
      </c>
      <c r="M276" s="508">
        <f t="shared" si="15"/>
        <v>7369.5</v>
      </c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</row>
    <row r="277" spans="1:227" s="4" customFormat="1" ht="42" customHeight="1">
      <c r="A277" s="421"/>
      <c r="B277" s="489" t="s">
        <v>1013</v>
      </c>
      <c r="C277" s="596" t="s">
        <v>96</v>
      </c>
      <c r="D277" s="491" t="s">
        <v>1574</v>
      </c>
      <c r="E277" s="492" t="s">
        <v>455</v>
      </c>
      <c r="F277" s="699"/>
      <c r="G277" s="494" t="s">
        <v>205</v>
      </c>
      <c r="H277" s="495" t="s">
        <v>145</v>
      </c>
      <c r="I277" s="496" t="s">
        <v>151</v>
      </c>
      <c r="J277" s="496" t="s">
        <v>481</v>
      </c>
      <c r="K277" s="497"/>
      <c r="L277" s="892">
        <v>9460</v>
      </c>
      <c r="M277" s="498">
        <f t="shared" si="15"/>
        <v>11825</v>
      </c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</row>
    <row r="278" spans="1:227" s="4" customFormat="1" ht="47.25" customHeight="1">
      <c r="A278" s="421"/>
      <c r="B278" s="484" t="s">
        <v>1400</v>
      </c>
      <c r="C278" s="464" t="s">
        <v>547</v>
      </c>
      <c r="D278" s="485" t="s">
        <v>1575</v>
      </c>
      <c r="E278" s="486" t="s">
        <v>455</v>
      </c>
      <c r="F278" s="698" t="s">
        <v>1351</v>
      </c>
      <c r="G278" s="480" t="s">
        <v>1394</v>
      </c>
      <c r="H278" s="474" t="s">
        <v>145</v>
      </c>
      <c r="I278" s="481" t="s">
        <v>48</v>
      </c>
      <c r="J278" s="481" t="s">
        <v>481</v>
      </c>
      <c r="K278" s="482"/>
      <c r="L278" s="892">
        <f>1.02*21400</f>
        <v>21828</v>
      </c>
      <c r="M278" s="508">
        <f t="shared" si="15"/>
        <v>27285</v>
      </c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</row>
    <row r="279" spans="1:227" s="4" customFormat="1" ht="65.25" customHeight="1">
      <c r="A279" s="421"/>
      <c r="B279" s="489" t="s">
        <v>1014</v>
      </c>
      <c r="C279" s="596" t="s">
        <v>92</v>
      </c>
      <c r="D279" s="491" t="s">
        <v>1576</v>
      </c>
      <c r="E279" s="492" t="s">
        <v>62</v>
      </c>
      <c r="F279" s="700"/>
      <c r="G279" s="494" t="s">
        <v>243</v>
      </c>
      <c r="H279" s="699"/>
      <c r="I279" s="496" t="s">
        <v>161</v>
      </c>
      <c r="J279" s="496" t="s">
        <v>481</v>
      </c>
      <c r="K279" s="497"/>
      <c r="L279" s="892">
        <v>7880</v>
      </c>
      <c r="M279" s="498">
        <f t="shared" si="15"/>
        <v>9850</v>
      </c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</row>
    <row r="280" spans="1:227" s="4" customFormat="1" ht="40.5" customHeight="1">
      <c r="A280" s="421"/>
      <c r="B280" s="489" t="s">
        <v>1015</v>
      </c>
      <c r="C280" s="596" t="s">
        <v>92</v>
      </c>
      <c r="D280" s="491" t="s">
        <v>1577</v>
      </c>
      <c r="E280" s="492" t="s">
        <v>549</v>
      </c>
      <c r="F280" s="699"/>
      <c r="G280" s="494" t="s">
        <v>243</v>
      </c>
      <c r="H280" s="699"/>
      <c r="I280" s="496" t="s">
        <v>802</v>
      </c>
      <c r="J280" s="496"/>
      <c r="K280" s="497"/>
      <c r="L280" s="892">
        <v>7800</v>
      </c>
      <c r="M280" s="498">
        <f t="shared" si="15"/>
        <v>9750</v>
      </c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</row>
    <row r="281" spans="1:227" s="52" customFormat="1" ht="23.25" customHeight="1">
      <c r="A281" s="421"/>
      <c r="B281" s="499"/>
      <c r="C281" s="515"/>
      <c r="D281" s="500" t="s">
        <v>299</v>
      </c>
      <c r="E281" s="501"/>
      <c r="F281" s="502"/>
      <c r="G281" s="503"/>
      <c r="H281" s="502"/>
      <c r="I281" s="504"/>
      <c r="J281" s="505"/>
      <c r="K281" s="506"/>
      <c r="L281" s="892"/>
      <c r="M281" s="508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227" ht="27" customHeight="1">
      <c r="A282" s="421"/>
      <c r="B282" s="463" t="s">
        <v>1016</v>
      </c>
      <c r="C282" s="464" t="s">
        <v>96</v>
      </c>
      <c r="D282" s="589" t="s">
        <v>764</v>
      </c>
      <c r="E282" s="466" t="s">
        <v>368</v>
      </c>
      <c r="F282" s="467"/>
      <c r="G282" s="480" t="s">
        <v>427</v>
      </c>
      <c r="H282" s="479" t="s">
        <v>145</v>
      </c>
      <c r="I282" s="481" t="s">
        <v>428</v>
      </c>
      <c r="J282" s="471"/>
      <c r="K282" s="590"/>
      <c r="L282" s="892">
        <f>1.02*5310</f>
        <v>5416.2</v>
      </c>
      <c r="M282" s="508">
        <f t="shared" ref="M282:M298" si="16">L282*1.25</f>
        <v>6770.25</v>
      </c>
      <c r="AJ282" s="2"/>
      <c r="AK282" s="2"/>
      <c r="AL282" s="2"/>
      <c r="AM282" s="2"/>
    </row>
    <row r="283" spans="1:227" ht="42.75" customHeight="1">
      <c r="A283" s="421"/>
      <c r="B283" s="489" t="s">
        <v>1017</v>
      </c>
      <c r="C283" s="490" t="s">
        <v>92</v>
      </c>
      <c r="D283" s="701" t="s">
        <v>1578</v>
      </c>
      <c r="E283" s="492" t="s">
        <v>1312</v>
      </c>
      <c r="F283" s="525"/>
      <c r="G283" s="494" t="s">
        <v>243</v>
      </c>
      <c r="H283" s="629"/>
      <c r="I283" s="496" t="s">
        <v>151</v>
      </c>
      <c r="J283" s="496"/>
      <c r="K283" s="497"/>
      <c r="L283" s="892">
        <v>9500</v>
      </c>
      <c r="M283" s="498">
        <f t="shared" si="16"/>
        <v>11875</v>
      </c>
      <c r="AJ283" s="2"/>
      <c r="AK283" s="2"/>
      <c r="AL283" s="2"/>
      <c r="AM283" s="2"/>
    </row>
    <row r="284" spans="1:227" ht="34.5" customHeight="1">
      <c r="A284" s="421"/>
      <c r="B284" s="463" t="s">
        <v>1264</v>
      </c>
      <c r="C284" s="464" t="s">
        <v>92</v>
      </c>
      <c r="D284" s="589" t="s">
        <v>763</v>
      </c>
      <c r="E284" s="466" t="s">
        <v>1312</v>
      </c>
      <c r="F284" s="467"/>
      <c r="G284" s="480" t="s">
        <v>243</v>
      </c>
      <c r="H284" s="624"/>
      <c r="I284" s="481" t="s">
        <v>428</v>
      </c>
      <c r="J284" s="471"/>
      <c r="K284" s="590" t="s">
        <v>548</v>
      </c>
      <c r="L284" s="892">
        <f>1.02*14280</f>
        <v>14565.6</v>
      </c>
      <c r="M284" s="508">
        <f t="shared" si="16"/>
        <v>18207</v>
      </c>
      <c r="AJ284" s="2"/>
      <c r="AK284" s="2"/>
      <c r="AL284" s="2"/>
      <c r="AM284" s="2"/>
    </row>
    <row r="285" spans="1:227" s="8" customFormat="1" ht="27" customHeight="1">
      <c r="A285" s="421"/>
      <c r="B285" s="489" t="s">
        <v>1018</v>
      </c>
      <c r="C285" s="490" t="s">
        <v>92</v>
      </c>
      <c r="D285" s="701" t="s">
        <v>1579</v>
      </c>
      <c r="E285" s="492" t="s">
        <v>1311</v>
      </c>
      <c r="F285" s="525"/>
      <c r="G285" s="494" t="s">
        <v>243</v>
      </c>
      <c r="H285" s="600"/>
      <c r="I285" s="496" t="s">
        <v>151</v>
      </c>
      <c r="J285" s="601" t="s">
        <v>481</v>
      </c>
      <c r="K285" s="632"/>
      <c r="L285" s="892">
        <v>8900</v>
      </c>
      <c r="M285" s="498">
        <f t="shared" si="16"/>
        <v>11125</v>
      </c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</row>
    <row r="286" spans="1:227" ht="27" customHeight="1">
      <c r="A286" s="421"/>
      <c r="B286" s="463" t="s">
        <v>1019</v>
      </c>
      <c r="C286" s="464" t="s">
        <v>96</v>
      </c>
      <c r="D286" s="589" t="s">
        <v>311</v>
      </c>
      <c r="E286" s="466" t="s">
        <v>314</v>
      </c>
      <c r="F286" s="467"/>
      <c r="G286" s="480" t="s">
        <v>209</v>
      </c>
      <c r="H286" s="467"/>
      <c r="I286" s="528" t="s">
        <v>162</v>
      </c>
      <c r="J286" s="528"/>
      <c r="K286" s="477"/>
      <c r="L286" s="892">
        <f>1.02*5950</f>
        <v>6069</v>
      </c>
      <c r="M286" s="508">
        <f t="shared" si="16"/>
        <v>7586.25</v>
      </c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4"/>
      <c r="HQ286" s="4"/>
      <c r="HR286" s="4"/>
      <c r="HS286" s="4"/>
    </row>
    <row r="287" spans="1:227" s="8" customFormat="1" ht="33.75" customHeight="1">
      <c r="A287" s="421"/>
      <c r="B287" s="463" t="s">
        <v>1020</v>
      </c>
      <c r="C287" s="464" t="s">
        <v>96</v>
      </c>
      <c r="D287" s="589" t="s">
        <v>315</v>
      </c>
      <c r="E287" s="466" t="s">
        <v>478</v>
      </c>
      <c r="F287" s="467"/>
      <c r="G287" s="480" t="s">
        <v>193</v>
      </c>
      <c r="H287" s="595"/>
      <c r="I287" s="481" t="s">
        <v>155</v>
      </c>
      <c r="J287" s="481"/>
      <c r="K287" s="477"/>
      <c r="L287" s="892">
        <f>1.02*5950</f>
        <v>6069</v>
      </c>
      <c r="M287" s="508">
        <f t="shared" si="16"/>
        <v>7586.25</v>
      </c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15"/>
      <c r="HQ287" s="15"/>
      <c r="HR287" s="15"/>
      <c r="HS287" s="15"/>
    </row>
    <row r="288" spans="1:227" s="8" customFormat="1" ht="39" customHeight="1">
      <c r="A288" s="421"/>
      <c r="B288" s="463" t="s">
        <v>1021</v>
      </c>
      <c r="C288" s="464" t="s">
        <v>96</v>
      </c>
      <c r="D288" s="589" t="s">
        <v>1580</v>
      </c>
      <c r="E288" s="466" t="s">
        <v>437</v>
      </c>
      <c r="F288" s="467"/>
      <c r="G288" s="480" t="s">
        <v>193</v>
      </c>
      <c r="H288" s="702"/>
      <c r="I288" s="481" t="s">
        <v>155</v>
      </c>
      <c r="J288" s="507"/>
      <c r="K288" s="477"/>
      <c r="L288" s="892">
        <f>1.02*5950</f>
        <v>6069</v>
      </c>
      <c r="M288" s="508">
        <f t="shared" si="16"/>
        <v>7586.25</v>
      </c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</row>
    <row r="289" spans="1:228" s="8" customFormat="1" ht="34.5" customHeight="1">
      <c r="A289" s="421"/>
      <c r="B289" s="463" t="s">
        <v>1022</v>
      </c>
      <c r="C289" s="464" t="s">
        <v>96</v>
      </c>
      <c r="D289" s="589" t="s">
        <v>414</v>
      </c>
      <c r="E289" s="466" t="s">
        <v>313</v>
      </c>
      <c r="F289" s="467"/>
      <c r="G289" s="480" t="s">
        <v>210</v>
      </c>
      <c r="H289" s="467"/>
      <c r="I289" s="528" t="s">
        <v>151</v>
      </c>
      <c r="J289" s="528"/>
      <c r="K289" s="477"/>
      <c r="L289" s="892">
        <f>1.02*7220</f>
        <v>7364.4000000000005</v>
      </c>
      <c r="M289" s="508">
        <f t="shared" si="16"/>
        <v>9205.5</v>
      </c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</row>
    <row r="290" spans="1:228" s="8" customFormat="1" ht="30" customHeight="1">
      <c r="A290" s="421"/>
      <c r="B290" s="484" t="s">
        <v>1023</v>
      </c>
      <c r="C290" s="464" t="s">
        <v>96</v>
      </c>
      <c r="D290" s="589" t="s">
        <v>1581</v>
      </c>
      <c r="E290" s="486" t="s">
        <v>1265</v>
      </c>
      <c r="F290" s="467"/>
      <c r="G290" s="480" t="s">
        <v>526</v>
      </c>
      <c r="H290" s="479" t="s">
        <v>441</v>
      </c>
      <c r="I290" s="481" t="s">
        <v>525</v>
      </c>
      <c r="J290" s="507" t="s">
        <v>481</v>
      </c>
      <c r="K290" s="590"/>
      <c r="L290" s="892">
        <f>1.02*8000</f>
        <v>8160</v>
      </c>
      <c r="M290" s="508">
        <f t="shared" si="16"/>
        <v>10200</v>
      </c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</row>
    <row r="291" spans="1:228" s="8" customFormat="1" ht="44.25" customHeight="1">
      <c r="A291" s="421"/>
      <c r="B291" s="463" t="s">
        <v>872</v>
      </c>
      <c r="C291" s="464" t="s">
        <v>144</v>
      </c>
      <c r="D291" s="589" t="s">
        <v>1582</v>
      </c>
      <c r="E291" s="466" t="s">
        <v>587</v>
      </c>
      <c r="F291" s="467"/>
      <c r="G291" s="480" t="s">
        <v>244</v>
      </c>
      <c r="H291" s="595"/>
      <c r="I291" s="481" t="s">
        <v>163</v>
      </c>
      <c r="J291" s="481" t="s">
        <v>481</v>
      </c>
      <c r="K291" s="477"/>
      <c r="L291" s="892">
        <f>1.02*11730</f>
        <v>11964.6</v>
      </c>
      <c r="M291" s="508">
        <f t="shared" si="16"/>
        <v>14955.75</v>
      </c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15"/>
      <c r="HQ291" s="15"/>
      <c r="HR291" s="15"/>
      <c r="HS291" s="15"/>
    </row>
    <row r="292" spans="1:228" s="8" customFormat="1" ht="35.25" customHeight="1">
      <c r="A292" s="421"/>
      <c r="B292" s="463" t="s">
        <v>1240</v>
      </c>
      <c r="C292" s="464" t="s">
        <v>103</v>
      </c>
      <c r="D292" s="589" t="s">
        <v>1583</v>
      </c>
      <c r="E292" s="466" t="s">
        <v>587</v>
      </c>
      <c r="F292" s="542" t="s">
        <v>1231</v>
      </c>
      <c r="G292" s="480"/>
      <c r="H292" s="595"/>
      <c r="I292" s="481" t="s">
        <v>163</v>
      </c>
      <c r="J292" s="481" t="s">
        <v>481</v>
      </c>
      <c r="K292" s="477"/>
      <c r="L292" s="892">
        <f>1.02*7640</f>
        <v>7792.8</v>
      </c>
      <c r="M292" s="508">
        <f t="shared" si="16"/>
        <v>9741</v>
      </c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</row>
    <row r="293" spans="1:228" s="8" customFormat="1" ht="21.75" customHeight="1">
      <c r="A293" s="421"/>
      <c r="B293" s="489" t="s">
        <v>1025</v>
      </c>
      <c r="C293" s="490" t="s">
        <v>92</v>
      </c>
      <c r="D293" s="491" t="s">
        <v>520</v>
      </c>
      <c r="E293" s="492" t="s">
        <v>765</v>
      </c>
      <c r="F293" s="525"/>
      <c r="G293" s="494" t="s">
        <v>243</v>
      </c>
      <c r="H293" s="600"/>
      <c r="I293" s="496" t="s">
        <v>248</v>
      </c>
      <c r="J293" s="496"/>
      <c r="K293" s="497"/>
      <c r="L293" s="892">
        <v>8650</v>
      </c>
      <c r="M293" s="498">
        <f t="shared" si="16"/>
        <v>10812.5</v>
      </c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</row>
    <row r="294" spans="1:228" s="8" customFormat="1" ht="33.75" customHeight="1">
      <c r="A294" s="421"/>
      <c r="B294" s="463" t="s">
        <v>1024</v>
      </c>
      <c r="C294" s="464" t="s">
        <v>96</v>
      </c>
      <c r="D294" s="465" t="s">
        <v>302</v>
      </c>
      <c r="E294" s="466" t="s">
        <v>63</v>
      </c>
      <c r="F294" s="467"/>
      <c r="G294" s="480" t="s">
        <v>233</v>
      </c>
      <c r="H294" s="479" t="s">
        <v>145</v>
      </c>
      <c r="I294" s="528" t="s">
        <v>474</v>
      </c>
      <c r="J294" s="471"/>
      <c r="K294" s="477"/>
      <c r="L294" s="892">
        <f>1.02*6460</f>
        <v>6589.2</v>
      </c>
      <c r="M294" s="508">
        <f t="shared" si="16"/>
        <v>8236.5</v>
      </c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</row>
    <row r="295" spans="1:228" s="8" customFormat="1" ht="21.75" customHeight="1">
      <c r="A295" s="421"/>
      <c r="B295" s="484" t="s">
        <v>1026</v>
      </c>
      <c r="C295" s="624" t="s">
        <v>96</v>
      </c>
      <c r="D295" s="625" t="s">
        <v>301</v>
      </c>
      <c r="E295" s="486" t="s">
        <v>300</v>
      </c>
      <c r="F295" s="467"/>
      <c r="G295" s="480" t="s">
        <v>178</v>
      </c>
      <c r="H295" s="619"/>
      <c r="I295" s="481" t="s">
        <v>159</v>
      </c>
      <c r="J295" s="481"/>
      <c r="K295" s="482"/>
      <c r="L295" s="892">
        <f>1.02*5880</f>
        <v>5997.6</v>
      </c>
      <c r="M295" s="508">
        <f t="shared" si="16"/>
        <v>7497</v>
      </c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</row>
    <row r="296" spans="1:228" s="8" customFormat="1" ht="45.75" customHeight="1">
      <c r="A296" s="421"/>
      <c r="B296" s="463" t="s">
        <v>1027</v>
      </c>
      <c r="C296" s="464" t="s">
        <v>92</v>
      </c>
      <c r="D296" s="465" t="s">
        <v>416</v>
      </c>
      <c r="E296" s="466" t="s">
        <v>312</v>
      </c>
      <c r="F296" s="467"/>
      <c r="G296" s="480" t="s">
        <v>243</v>
      </c>
      <c r="H296" s="469"/>
      <c r="I296" s="528" t="s">
        <v>161</v>
      </c>
      <c r="J296" s="528"/>
      <c r="K296" s="477"/>
      <c r="L296" s="892">
        <f>1.02*7430</f>
        <v>7578.6</v>
      </c>
      <c r="M296" s="508">
        <f t="shared" si="16"/>
        <v>9473.25</v>
      </c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</row>
    <row r="297" spans="1:228" s="8" customFormat="1" ht="32.25" customHeight="1">
      <c r="A297" s="421"/>
      <c r="B297" s="489" t="s">
        <v>1028</v>
      </c>
      <c r="C297" s="490" t="s">
        <v>96</v>
      </c>
      <c r="D297" s="701" t="s">
        <v>39</v>
      </c>
      <c r="E297" s="492" t="s">
        <v>140</v>
      </c>
      <c r="F297" s="525"/>
      <c r="G297" s="494" t="s">
        <v>190</v>
      </c>
      <c r="H297" s="629"/>
      <c r="I297" s="496" t="s">
        <v>151</v>
      </c>
      <c r="J297" s="601"/>
      <c r="K297" s="497"/>
      <c r="L297" s="892">
        <v>5950</v>
      </c>
      <c r="M297" s="498">
        <f t="shared" si="16"/>
        <v>7437.5</v>
      </c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</row>
    <row r="298" spans="1:228" s="8" customFormat="1" ht="29.25" customHeight="1">
      <c r="A298" s="421"/>
      <c r="B298" s="463" t="s">
        <v>1029</v>
      </c>
      <c r="C298" s="464" t="s">
        <v>96</v>
      </c>
      <c r="D298" s="589" t="s">
        <v>39</v>
      </c>
      <c r="E298" s="466" t="s">
        <v>27</v>
      </c>
      <c r="F298" s="467"/>
      <c r="G298" s="480" t="s">
        <v>46</v>
      </c>
      <c r="H298" s="619"/>
      <c r="I298" s="481" t="s">
        <v>151</v>
      </c>
      <c r="J298" s="471"/>
      <c r="K298" s="590" t="s">
        <v>548</v>
      </c>
      <c r="L298" s="892">
        <f>1.02*14110</f>
        <v>14392.2</v>
      </c>
      <c r="M298" s="508">
        <f t="shared" si="16"/>
        <v>17990.25</v>
      </c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</row>
    <row r="299" spans="1:228" s="52" customFormat="1" ht="27" customHeight="1">
      <c r="A299" s="421"/>
      <c r="B299" s="499"/>
      <c r="C299" s="515"/>
      <c r="D299" s="500" t="s">
        <v>316</v>
      </c>
      <c r="E299" s="501"/>
      <c r="F299" s="502"/>
      <c r="G299" s="503"/>
      <c r="H299" s="502"/>
      <c r="I299" s="504"/>
      <c r="J299" s="505"/>
      <c r="K299" s="506"/>
      <c r="L299" s="892"/>
      <c r="M299" s="508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228" s="4" customFormat="1" ht="22.5" customHeight="1">
      <c r="A300" s="421"/>
      <c r="B300" s="463" t="s">
        <v>1030</v>
      </c>
      <c r="C300" s="464" t="s">
        <v>96</v>
      </c>
      <c r="D300" s="465" t="s">
        <v>318</v>
      </c>
      <c r="E300" s="703" t="s">
        <v>456</v>
      </c>
      <c r="F300" s="512"/>
      <c r="G300" s="468" t="s">
        <v>180</v>
      </c>
      <c r="H300" s="474" t="s">
        <v>145</v>
      </c>
      <c r="I300" s="528" t="s">
        <v>148</v>
      </c>
      <c r="J300" s="528"/>
      <c r="K300" s="471"/>
      <c r="L300" s="892">
        <f>1.02*5960</f>
        <v>6079.2</v>
      </c>
      <c r="M300" s="508">
        <f t="shared" ref="M300:M323" si="17">L300*1.25</f>
        <v>7599</v>
      </c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287"/>
      <c r="HQ300" s="287"/>
      <c r="HR300" s="287"/>
      <c r="HS300" s="287"/>
      <c r="HT300" s="287"/>
    </row>
    <row r="301" spans="1:228" s="16" customFormat="1" ht="22.5" customHeight="1">
      <c r="A301" s="421"/>
      <c r="B301" s="463" t="s">
        <v>1031</v>
      </c>
      <c r="C301" s="464" t="s">
        <v>96</v>
      </c>
      <c r="D301" s="704" t="s">
        <v>322</v>
      </c>
      <c r="E301" s="703" t="s">
        <v>109</v>
      </c>
      <c r="F301" s="512"/>
      <c r="G301" s="468" t="s">
        <v>215</v>
      </c>
      <c r="H301" s="474" t="s">
        <v>145</v>
      </c>
      <c r="I301" s="618" t="s">
        <v>237</v>
      </c>
      <c r="J301" s="618"/>
      <c r="K301" s="471"/>
      <c r="L301" s="892">
        <f>1.02*6170</f>
        <v>6293.4000000000005</v>
      </c>
      <c r="M301" s="508">
        <f t="shared" si="17"/>
        <v>7866.7500000000009</v>
      </c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</row>
    <row r="302" spans="1:228" s="17" customFormat="1" ht="23.25" customHeight="1">
      <c r="A302" s="421"/>
      <c r="B302" s="484" t="s">
        <v>1032</v>
      </c>
      <c r="C302" s="529" t="s">
        <v>96</v>
      </c>
      <c r="D302" s="625" t="s">
        <v>1584</v>
      </c>
      <c r="E302" s="637" t="s">
        <v>549</v>
      </c>
      <c r="F302" s="483"/>
      <c r="G302" s="480" t="s">
        <v>567</v>
      </c>
      <c r="H302" s="479"/>
      <c r="I302" s="705" t="s">
        <v>584</v>
      </c>
      <c r="J302" s="507"/>
      <c r="K302" s="706"/>
      <c r="L302" s="892">
        <f>1.02*6170</f>
        <v>6293.4000000000005</v>
      </c>
      <c r="M302" s="508">
        <f t="shared" si="17"/>
        <v>7866.7500000000009</v>
      </c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0"/>
      <c r="HQ302" s="10"/>
      <c r="HR302" s="10"/>
      <c r="HS302" s="10"/>
      <c r="HT302" s="10"/>
    </row>
    <row r="303" spans="1:228" ht="22.5" customHeight="1">
      <c r="A303" s="421"/>
      <c r="B303" s="463" t="s">
        <v>1033</v>
      </c>
      <c r="C303" s="529" t="s">
        <v>96</v>
      </c>
      <c r="D303" s="465" t="s">
        <v>488</v>
      </c>
      <c r="E303" s="466" t="s">
        <v>368</v>
      </c>
      <c r="F303" s="467"/>
      <c r="G303" s="480" t="s">
        <v>168</v>
      </c>
      <c r="H303" s="474" t="s">
        <v>145</v>
      </c>
      <c r="I303" s="475" t="s">
        <v>237</v>
      </c>
      <c r="J303" s="521"/>
      <c r="K303" s="706"/>
      <c r="L303" s="892">
        <f>1.02*5970</f>
        <v>6089.4000000000005</v>
      </c>
      <c r="M303" s="508">
        <f t="shared" si="17"/>
        <v>7611.7500000000009</v>
      </c>
      <c r="AJ303" s="2"/>
      <c r="AK303" s="2"/>
      <c r="AL303" s="2"/>
      <c r="AM303" s="2"/>
    </row>
    <row r="304" spans="1:228" s="10" customFormat="1" ht="22.5" customHeight="1">
      <c r="A304" s="421"/>
      <c r="B304" s="463" t="s">
        <v>1034</v>
      </c>
      <c r="C304" s="529" t="s">
        <v>96</v>
      </c>
      <c r="D304" s="465" t="s">
        <v>1585</v>
      </c>
      <c r="E304" s="466" t="s">
        <v>368</v>
      </c>
      <c r="F304" s="483"/>
      <c r="G304" s="480" t="s">
        <v>572</v>
      </c>
      <c r="H304" s="474" t="s">
        <v>145</v>
      </c>
      <c r="I304" s="475" t="s">
        <v>237</v>
      </c>
      <c r="J304" s="521" t="s">
        <v>481</v>
      </c>
      <c r="K304" s="706"/>
      <c r="L304" s="892">
        <f>1.02*5970</f>
        <v>6089.4000000000005</v>
      </c>
      <c r="M304" s="508">
        <f t="shared" si="17"/>
        <v>7611.7500000000009</v>
      </c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</row>
    <row r="305" spans="1:223" s="4" customFormat="1" ht="23.25" customHeight="1">
      <c r="A305" s="421"/>
      <c r="B305" s="463" t="s">
        <v>1035</v>
      </c>
      <c r="C305" s="464" t="s">
        <v>96</v>
      </c>
      <c r="D305" s="465" t="s">
        <v>321</v>
      </c>
      <c r="E305" s="703" t="s">
        <v>355</v>
      </c>
      <c r="F305" s="512"/>
      <c r="G305" s="468" t="s">
        <v>214</v>
      </c>
      <c r="H305" s="512"/>
      <c r="I305" s="528" t="s">
        <v>156</v>
      </c>
      <c r="J305" s="707"/>
      <c r="K305" s="514"/>
      <c r="L305" s="892">
        <f>1.02*6680</f>
        <v>6813.6</v>
      </c>
      <c r="M305" s="508">
        <f t="shared" si="17"/>
        <v>8517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</row>
    <row r="306" spans="1:223" s="4" customFormat="1" ht="22.5" customHeight="1">
      <c r="A306" s="421"/>
      <c r="B306" s="484" t="s">
        <v>1036</v>
      </c>
      <c r="C306" s="529" t="s">
        <v>96</v>
      </c>
      <c r="D306" s="465" t="s">
        <v>321</v>
      </c>
      <c r="E306" s="637" t="s">
        <v>25</v>
      </c>
      <c r="F306" s="467"/>
      <c r="G306" s="480" t="s">
        <v>516</v>
      </c>
      <c r="H306" s="474" t="s">
        <v>145</v>
      </c>
      <c r="I306" s="475" t="s">
        <v>151</v>
      </c>
      <c r="J306" s="708"/>
      <c r="K306" s="706"/>
      <c r="L306" s="892">
        <f>1.02*6680</f>
        <v>6813.6</v>
      </c>
      <c r="M306" s="508">
        <f t="shared" si="17"/>
        <v>8517</v>
      </c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</row>
    <row r="307" spans="1:223" s="4" customFormat="1" ht="48.75" customHeight="1">
      <c r="A307" s="421"/>
      <c r="B307" s="489" t="s">
        <v>1037</v>
      </c>
      <c r="C307" s="596" t="s">
        <v>92</v>
      </c>
      <c r="D307" s="491" t="s">
        <v>421</v>
      </c>
      <c r="E307" s="709" t="s">
        <v>99</v>
      </c>
      <c r="F307" s="710"/>
      <c r="G307" s="494" t="s">
        <v>243</v>
      </c>
      <c r="H307" s="711"/>
      <c r="I307" s="630" t="s">
        <v>161</v>
      </c>
      <c r="J307" s="712"/>
      <c r="K307" s="713"/>
      <c r="L307" s="892">
        <v>8400</v>
      </c>
      <c r="M307" s="498">
        <f t="shared" si="17"/>
        <v>10500</v>
      </c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</row>
    <row r="308" spans="1:223" s="4" customFormat="1" ht="25.5" customHeight="1">
      <c r="A308" s="421"/>
      <c r="B308" s="463" t="s">
        <v>1038</v>
      </c>
      <c r="C308" s="464" t="s">
        <v>96</v>
      </c>
      <c r="D308" s="465" t="s">
        <v>13</v>
      </c>
      <c r="E308" s="703" t="s">
        <v>109</v>
      </c>
      <c r="F308" s="512"/>
      <c r="G308" s="468" t="s">
        <v>216</v>
      </c>
      <c r="H308" s="474" t="s">
        <v>145</v>
      </c>
      <c r="I308" s="528" t="s">
        <v>149</v>
      </c>
      <c r="J308" s="528"/>
      <c r="K308" s="471"/>
      <c r="L308" s="892">
        <f>1.02*6250</f>
        <v>6375</v>
      </c>
      <c r="M308" s="508">
        <f t="shared" si="17"/>
        <v>7968.75</v>
      </c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</row>
    <row r="309" spans="1:223" s="4" customFormat="1" ht="22.5" customHeight="1">
      <c r="A309" s="421"/>
      <c r="B309" s="484" t="s">
        <v>1039</v>
      </c>
      <c r="C309" s="529" t="s">
        <v>96</v>
      </c>
      <c r="D309" s="465" t="s">
        <v>366</v>
      </c>
      <c r="E309" s="637" t="s">
        <v>367</v>
      </c>
      <c r="F309" s="467"/>
      <c r="G309" s="480" t="s">
        <v>211</v>
      </c>
      <c r="H309" s="474"/>
      <c r="I309" s="481" t="s">
        <v>247</v>
      </c>
      <c r="J309" s="714"/>
      <c r="K309" s="706"/>
      <c r="L309" s="892">
        <f>1.02*7390</f>
        <v>7537.8</v>
      </c>
      <c r="M309" s="508">
        <f t="shared" si="17"/>
        <v>9422.25</v>
      </c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</row>
    <row r="310" spans="1:223" s="4" customFormat="1" ht="23.25" customHeight="1">
      <c r="A310" s="421"/>
      <c r="B310" s="463" t="s">
        <v>1040</v>
      </c>
      <c r="C310" s="464" t="s">
        <v>96</v>
      </c>
      <c r="D310" s="465" t="s">
        <v>1204</v>
      </c>
      <c r="E310" s="703" t="s">
        <v>1203</v>
      </c>
      <c r="F310" s="512"/>
      <c r="G310" s="468" t="s">
        <v>213</v>
      </c>
      <c r="H310" s="479" t="s">
        <v>145</v>
      </c>
      <c r="I310" s="528" t="s">
        <v>151</v>
      </c>
      <c r="J310" s="528"/>
      <c r="K310" s="471"/>
      <c r="L310" s="892">
        <f>1.02*4220</f>
        <v>4304.3999999999996</v>
      </c>
      <c r="M310" s="508">
        <f t="shared" si="17"/>
        <v>5380.5</v>
      </c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</row>
    <row r="311" spans="1:223" s="4" customFormat="1" ht="23.25" customHeight="1">
      <c r="A311" s="421"/>
      <c r="B311" s="489" t="s">
        <v>1202</v>
      </c>
      <c r="C311" s="490" t="s">
        <v>96</v>
      </c>
      <c r="D311" s="491" t="s">
        <v>1586</v>
      </c>
      <c r="E311" s="709" t="s">
        <v>648</v>
      </c>
      <c r="F311" s="710"/>
      <c r="G311" s="494" t="s">
        <v>542</v>
      </c>
      <c r="H311" s="600" t="s">
        <v>145</v>
      </c>
      <c r="I311" s="496" t="s">
        <v>654</v>
      </c>
      <c r="J311" s="496" t="s">
        <v>481</v>
      </c>
      <c r="K311" s="601"/>
      <c r="L311" s="892">
        <v>6640</v>
      </c>
      <c r="M311" s="498">
        <f t="shared" si="17"/>
        <v>8300</v>
      </c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</row>
    <row r="312" spans="1:223" s="4" customFormat="1" ht="22.5" customHeight="1">
      <c r="A312" s="421"/>
      <c r="B312" s="509" t="s">
        <v>1041</v>
      </c>
      <c r="C312" s="509" t="s">
        <v>96</v>
      </c>
      <c r="D312" s="465" t="s">
        <v>317</v>
      </c>
      <c r="E312" s="466" t="s">
        <v>405</v>
      </c>
      <c r="F312" s="603"/>
      <c r="G312" s="468" t="s">
        <v>211</v>
      </c>
      <c r="H312" s="715"/>
      <c r="I312" s="528" t="s">
        <v>247</v>
      </c>
      <c r="J312" s="707"/>
      <c r="K312" s="514"/>
      <c r="L312" s="892">
        <f>1.02*6950</f>
        <v>7089</v>
      </c>
      <c r="M312" s="508">
        <f t="shared" si="17"/>
        <v>8861.25</v>
      </c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</row>
    <row r="313" spans="1:223" s="4" customFormat="1" ht="22.5" customHeight="1">
      <c r="A313" s="439"/>
      <c r="B313" s="484" t="s">
        <v>1042</v>
      </c>
      <c r="C313" s="529" t="s">
        <v>115</v>
      </c>
      <c r="D313" s="465" t="s">
        <v>317</v>
      </c>
      <c r="E313" s="466" t="s">
        <v>405</v>
      </c>
      <c r="F313" s="467"/>
      <c r="G313" s="480" t="s">
        <v>49</v>
      </c>
      <c r="H313" s="474"/>
      <c r="I313" s="481" t="s">
        <v>47</v>
      </c>
      <c r="J313" s="714"/>
      <c r="K313" s="706"/>
      <c r="L313" s="892">
        <f>1.02*7650</f>
        <v>7803</v>
      </c>
      <c r="M313" s="508">
        <f t="shared" si="17"/>
        <v>9753.75</v>
      </c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</row>
    <row r="314" spans="1:223" s="4" customFormat="1" ht="22.5" customHeight="1">
      <c r="A314" s="421"/>
      <c r="B314" s="489" t="s">
        <v>1043</v>
      </c>
      <c r="C314" s="596" t="s">
        <v>92</v>
      </c>
      <c r="D314" s="491" t="s">
        <v>1587</v>
      </c>
      <c r="E314" s="492" t="s">
        <v>368</v>
      </c>
      <c r="F314" s="710"/>
      <c r="G314" s="494" t="s">
        <v>243</v>
      </c>
      <c r="H314" s="495"/>
      <c r="I314" s="496" t="s">
        <v>151</v>
      </c>
      <c r="J314" s="601" t="s">
        <v>481</v>
      </c>
      <c r="K314" s="713"/>
      <c r="L314" s="892">
        <v>9850</v>
      </c>
      <c r="M314" s="498">
        <f t="shared" si="17"/>
        <v>12312.5</v>
      </c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</row>
    <row r="315" spans="1:223" s="4" customFormat="1" ht="22.5" customHeight="1">
      <c r="A315" s="421"/>
      <c r="B315" s="463" t="s">
        <v>1044</v>
      </c>
      <c r="C315" s="464" t="s">
        <v>96</v>
      </c>
      <c r="D315" s="465" t="s">
        <v>319</v>
      </c>
      <c r="E315" s="703" t="s">
        <v>651</v>
      </c>
      <c r="F315" s="512"/>
      <c r="G315" s="468" t="s">
        <v>212</v>
      </c>
      <c r="H315" s="474" t="s">
        <v>145</v>
      </c>
      <c r="I315" s="528" t="s">
        <v>151</v>
      </c>
      <c r="J315" s="707"/>
      <c r="K315" s="471"/>
      <c r="L315" s="892">
        <f>1.02*5300</f>
        <v>5406</v>
      </c>
      <c r="M315" s="508">
        <f t="shared" si="17"/>
        <v>6757.5</v>
      </c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</row>
    <row r="316" spans="1:223" s="4" customFormat="1" ht="22.5" customHeight="1">
      <c r="A316" s="421"/>
      <c r="B316" s="463" t="s">
        <v>1045</v>
      </c>
      <c r="C316" s="464" t="s">
        <v>96</v>
      </c>
      <c r="D316" s="465" t="s">
        <v>661</v>
      </c>
      <c r="E316" s="703" t="s">
        <v>718</v>
      </c>
      <c r="F316" s="512"/>
      <c r="G316" s="468" t="s">
        <v>1223</v>
      </c>
      <c r="H316" s="474" t="s">
        <v>145</v>
      </c>
      <c r="I316" s="481" t="s">
        <v>149</v>
      </c>
      <c r="J316" s="714" t="s">
        <v>1181</v>
      </c>
      <c r="K316" s="514"/>
      <c r="L316" s="892">
        <f>1.02*7270</f>
        <v>7415.4000000000005</v>
      </c>
      <c r="M316" s="508">
        <f t="shared" si="17"/>
        <v>9269.25</v>
      </c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</row>
    <row r="317" spans="1:223" s="4" customFormat="1" ht="30" customHeight="1">
      <c r="A317" s="421"/>
      <c r="B317" s="463" t="s">
        <v>1205</v>
      </c>
      <c r="C317" s="464" t="s">
        <v>96</v>
      </c>
      <c r="D317" s="465" t="s">
        <v>1588</v>
      </c>
      <c r="E317" s="703" t="s">
        <v>648</v>
      </c>
      <c r="F317" s="716"/>
      <c r="G317" s="468" t="s">
        <v>594</v>
      </c>
      <c r="H317" s="474" t="s">
        <v>145</v>
      </c>
      <c r="I317" s="528" t="s">
        <v>152</v>
      </c>
      <c r="J317" s="707"/>
      <c r="K317" s="471"/>
      <c r="L317" s="892">
        <f>1.02*5110</f>
        <v>5212.2</v>
      </c>
      <c r="M317" s="508">
        <f t="shared" si="17"/>
        <v>6515.25</v>
      </c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</row>
    <row r="318" spans="1:223" s="4" customFormat="1" ht="27" customHeight="1">
      <c r="A318" s="421"/>
      <c r="B318" s="484" t="s">
        <v>1046</v>
      </c>
      <c r="C318" s="529" t="s">
        <v>96</v>
      </c>
      <c r="D318" s="625" t="s">
        <v>1589</v>
      </c>
      <c r="E318" s="637" t="s">
        <v>648</v>
      </c>
      <c r="F318" s="483"/>
      <c r="G318" s="480" t="s">
        <v>227</v>
      </c>
      <c r="H318" s="474" t="s">
        <v>145</v>
      </c>
      <c r="I318" s="481" t="s">
        <v>151</v>
      </c>
      <c r="J318" s="507"/>
      <c r="K318" s="706"/>
      <c r="L318" s="892">
        <f>1.02*5430</f>
        <v>5538.6</v>
      </c>
      <c r="M318" s="508">
        <f t="shared" si="17"/>
        <v>6923.25</v>
      </c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</row>
    <row r="319" spans="1:223" s="4" customFormat="1" ht="22.5" customHeight="1">
      <c r="A319" s="421"/>
      <c r="B319" s="484" t="s">
        <v>1047</v>
      </c>
      <c r="C319" s="529" t="s">
        <v>96</v>
      </c>
      <c r="D319" s="625" t="s">
        <v>323</v>
      </c>
      <c r="E319" s="637" t="s">
        <v>1270</v>
      </c>
      <c r="F319" s="512"/>
      <c r="G319" s="480" t="s">
        <v>245</v>
      </c>
      <c r="H319" s="474" t="s">
        <v>145</v>
      </c>
      <c r="I319" s="481" t="s">
        <v>149</v>
      </c>
      <c r="J319" s="714"/>
      <c r="K319" s="706"/>
      <c r="L319" s="892">
        <f>1.02*5950</f>
        <v>6069</v>
      </c>
      <c r="M319" s="508">
        <f t="shared" si="17"/>
        <v>7586.25</v>
      </c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</row>
    <row r="320" spans="1:223" s="4" customFormat="1" ht="22.5" customHeight="1">
      <c r="A320" s="421"/>
      <c r="B320" s="484" t="s">
        <v>1272</v>
      </c>
      <c r="C320" s="529" t="s">
        <v>96</v>
      </c>
      <c r="D320" s="625" t="s">
        <v>1590</v>
      </c>
      <c r="E320" s="637" t="s">
        <v>1229</v>
      </c>
      <c r="F320" s="717" t="s">
        <v>1213</v>
      </c>
      <c r="G320" s="480" t="s">
        <v>1271</v>
      </c>
      <c r="H320" s="474"/>
      <c r="I320" s="481" t="s">
        <v>152</v>
      </c>
      <c r="J320" s="714" t="s">
        <v>481</v>
      </c>
      <c r="K320" s="706"/>
      <c r="L320" s="892">
        <f>1.02*5540</f>
        <v>5650.8</v>
      </c>
      <c r="M320" s="508">
        <f t="shared" si="17"/>
        <v>7063.5</v>
      </c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</row>
    <row r="321" spans="1:223" s="4" customFormat="1" ht="21" customHeight="1">
      <c r="A321" s="421"/>
      <c r="B321" s="463" t="s">
        <v>1048</v>
      </c>
      <c r="C321" s="464" t="s">
        <v>96</v>
      </c>
      <c r="D321" s="465" t="s">
        <v>768</v>
      </c>
      <c r="E321" s="703" t="s">
        <v>320</v>
      </c>
      <c r="F321" s="512"/>
      <c r="G321" s="468" t="s">
        <v>188</v>
      </c>
      <c r="H321" s="474" t="s">
        <v>145</v>
      </c>
      <c r="I321" s="528" t="s">
        <v>159</v>
      </c>
      <c r="J321" s="528"/>
      <c r="K321" s="471"/>
      <c r="L321" s="892">
        <f>1.02*7390</f>
        <v>7537.8</v>
      </c>
      <c r="M321" s="508">
        <f t="shared" si="17"/>
        <v>9422.25</v>
      </c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</row>
    <row r="322" spans="1:223" s="4" customFormat="1" ht="24.75" customHeight="1">
      <c r="A322" s="421"/>
      <c r="B322" s="484" t="s">
        <v>1049</v>
      </c>
      <c r="C322" s="529" t="s">
        <v>96</v>
      </c>
      <c r="D322" s="625" t="s">
        <v>767</v>
      </c>
      <c r="E322" s="637" t="s">
        <v>1228</v>
      </c>
      <c r="F322" s="467"/>
      <c r="G322" s="480" t="s">
        <v>460</v>
      </c>
      <c r="H322" s="474"/>
      <c r="I322" s="481" t="s">
        <v>151</v>
      </c>
      <c r="J322" s="507"/>
      <c r="K322" s="706"/>
      <c r="L322" s="892">
        <f>1.02*7490</f>
        <v>7639.8</v>
      </c>
      <c r="M322" s="508">
        <f t="shared" si="17"/>
        <v>9549.75</v>
      </c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</row>
    <row r="323" spans="1:223" s="4" customFormat="1" ht="24.75" customHeight="1">
      <c r="A323" s="421"/>
      <c r="B323" s="484" t="s">
        <v>1230</v>
      </c>
      <c r="C323" s="529" t="s">
        <v>96</v>
      </c>
      <c r="D323" s="625" t="s">
        <v>1591</v>
      </c>
      <c r="E323" s="637" t="s">
        <v>1229</v>
      </c>
      <c r="F323" s="542" t="s">
        <v>1231</v>
      </c>
      <c r="G323" s="480" t="s">
        <v>1232</v>
      </c>
      <c r="H323" s="474"/>
      <c r="I323" s="481" t="s">
        <v>161</v>
      </c>
      <c r="J323" s="507" t="s">
        <v>481</v>
      </c>
      <c r="K323" s="706"/>
      <c r="L323" s="892">
        <f>1.02*7170</f>
        <v>7313.4000000000005</v>
      </c>
      <c r="M323" s="508">
        <f t="shared" si="17"/>
        <v>9141.75</v>
      </c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</row>
    <row r="324" spans="1:223" s="52" customFormat="1" ht="23.25" customHeight="1">
      <c r="A324" s="421"/>
      <c r="B324" s="499"/>
      <c r="C324" s="515"/>
      <c r="D324" s="500" t="s">
        <v>324</v>
      </c>
      <c r="E324" s="501"/>
      <c r="F324" s="502"/>
      <c r="G324" s="503"/>
      <c r="H324" s="502"/>
      <c r="I324" s="504"/>
      <c r="J324" s="505"/>
      <c r="K324" s="506"/>
      <c r="L324" s="892"/>
      <c r="M324" s="718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223" ht="27.75" customHeight="1">
      <c r="A325" s="421"/>
      <c r="B325" s="463" t="s">
        <v>1050</v>
      </c>
      <c r="C325" s="464" t="s">
        <v>96</v>
      </c>
      <c r="D325" s="465" t="s">
        <v>1592</v>
      </c>
      <c r="E325" s="466" t="s">
        <v>136</v>
      </c>
      <c r="F325" s="512"/>
      <c r="G325" s="480" t="s">
        <v>211</v>
      </c>
      <c r="H325" s="719"/>
      <c r="I325" s="481" t="s">
        <v>163</v>
      </c>
      <c r="J325" s="481" t="s">
        <v>481</v>
      </c>
      <c r="K325" s="706"/>
      <c r="L325" s="892">
        <f>1.02*6650</f>
        <v>6783</v>
      </c>
      <c r="M325" s="508">
        <f t="shared" ref="M325:M339" si="18">L325*1.25</f>
        <v>8478.75</v>
      </c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</row>
    <row r="326" spans="1:223" ht="39" customHeight="1">
      <c r="A326" s="421"/>
      <c r="B326" s="463" t="s">
        <v>1051</v>
      </c>
      <c r="C326" s="464" t="s">
        <v>96</v>
      </c>
      <c r="D326" s="465" t="s">
        <v>1593</v>
      </c>
      <c r="E326" s="466" t="s">
        <v>457</v>
      </c>
      <c r="F326" s="512"/>
      <c r="G326" s="480" t="s">
        <v>187</v>
      </c>
      <c r="H326" s="719"/>
      <c r="I326" s="481" t="s">
        <v>164</v>
      </c>
      <c r="J326" s="481" t="s">
        <v>481</v>
      </c>
      <c r="K326" s="706"/>
      <c r="L326" s="892">
        <f>1.02*5650</f>
        <v>5763</v>
      </c>
      <c r="M326" s="508">
        <f t="shared" si="18"/>
        <v>7203.75</v>
      </c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</row>
    <row r="327" spans="1:223" ht="42" customHeight="1">
      <c r="A327" s="421"/>
      <c r="B327" s="463" t="s">
        <v>1052</v>
      </c>
      <c r="C327" s="464" t="s">
        <v>96</v>
      </c>
      <c r="D327" s="465" t="s">
        <v>1594</v>
      </c>
      <c r="E327" s="486" t="s">
        <v>117</v>
      </c>
      <c r="F327" s="512"/>
      <c r="G327" s="480" t="s">
        <v>184</v>
      </c>
      <c r="H327" s="719"/>
      <c r="I327" s="481" t="s">
        <v>241</v>
      </c>
      <c r="J327" s="481" t="s">
        <v>481</v>
      </c>
      <c r="K327" s="706"/>
      <c r="L327" s="892">
        <f>1.02*6310</f>
        <v>6436.2</v>
      </c>
      <c r="M327" s="508">
        <f t="shared" si="18"/>
        <v>8045.25</v>
      </c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</row>
    <row r="328" spans="1:223" ht="27.75" customHeight="1">
      <c r="A328" s="421"/>
      <c r="B328" s="463" t="s">
        <v>609</v>
      </c>
      <c r="C328" s="464" t="s">
        <v>96</v>
      </c>
      <c r="D328" s="465" t="s">
        <v>1595</v>
      </c>
      <c r="E328" s="486" t="s">
        <v>5</v>
      </c>
      <c r="F328" s="720"/>
      <c r="G328" s="480"/>
      <c r="H328" s="479" t="s">
        <v>145</v>
      </c>
      <c r="I328" s="481" t="s">
        <v>151</v>
      </c>
      <c r="J328" s="481" t="s">
        <v>772</v>
      </c>
      <c r="K328" s="706"/>
      <c r="L328" s="892">
        <f>1.02*7110</f>
        <v>7252.2</v>
      </c>
      <c r="M328" s="508">
        <f t="shared" si="18"/>
        <v>9065.25</v>
      </c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</row>
    <row r="329" spans="1:223" ht="24.75" customHeight="1">
      <c r="A329" s="421"/>
      <c r="B329" s="463" t="s">
        <v>1053</v>
      </c>
      <c r="C329" s="464" t="s">
        <v>96</v>
      </c>
      <c r="D329" s="465" t="s">
        <v>1596</v>
      </c>
      <c r="E329" s="486" t="s">
        <v>5</v>
      </c>
      <c r="F329" s="512"/>
      <c r="G329" s="480" t="s">
        <v>204</v>
      </c>
      <c r="H329" s="479" t="s">
        <v>145</v>
      </c>
      <c r="I329" s="481" t="s">
        <v>234</v>
      </c>
      <c r="J329" s="481" t="s">
        <v>570</v>
      </c>
      <c r="K329" s="706"/>
      <c r="L329" s="892">
        <f>1.02*5450</f>
        <v>5559</v>
      </c>
      <c r="M329" s="508">
        <f t="shared" si="18"/>
        <v>6948.75</v>
      </c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</row>
    <row r="330" spans="1:223" ht="21" customHeight="1">
      <c r="A330" s="421"/>
      <c r="B330" s="721" t="s">
        <v>1055</v>
      </c>
      <c r="C330" s="721" t="s">
        <v>96</v>
      </c>
      <c r="D330" s="722" t="s">
        <v>1597</v>
      </c>
      <c r="E330" s="723" t="s">
        <v>436</v>
      </c>
      <c r="F330" s="467"/>
      <c r="G330" s="480" t="s">
        <v>231</v>
      </c>
      <c r="H330" s="558" t="s">
        <v>145</v>
      </c>
      <c r="I330" s="724" t="s">
        <v>234</v>
      </c>
      <c r="J330" s="507" t="s">
        <v>570</v>
      </c>
      <c r="K330" s="725"/>
      <c r="L330" s="892">
        <f>1.02*5850</f>
        <v>5967</v>
      </c>
      <c r="M330" s="508">
        <f t="shared" si="18"/>
        <v>7458.75</v>
      </c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</row>
    <row r="331" spans="1:223" ht="36" customHeight="1">
      <c r="A331" s="421"/>
      <c r="B331" s="463" t="s">
        <v>1054</v>
      </c>
      <c r="C331" s="464" t="s">
        <v>96</v>
      </c>
      <c r="D331" s="465" t="s">
        <v>1598</v>
      </c>
      <c r="E331" s="486" t="s">
        <v>577</v>
      </c>
      <c r="F331" s="483"/>
      <c r="G331" s="480" t="s">
        <v>578</v>
      </c>
      <c r="H331" s="479"/>
      <c r="I331" s="481" t="s">
        <v>153</v>
      </c>
      <c r="J331" s="481" t="s">
        <v>570</v>
      </c>
      <c r="K331" s="706"/>
      <c r="L331" s="892">
        <f>1.02*5730</f>
        <v>5844.6</v>
      </c>
      <c r="M331" s="508">
        <f t="shared" si="18"/>
        <v>7305.75</v>
      </c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</row>
    <row r="332" spans="1:223" ht="21" customHeight="1">
      <c r="A332" s="421"/>
      <c r="B332" s="580" t="s">
        <v>1056</v>
      </c>
      <c r="C332" s="581" t="s">
        <v>96</v>
      </c>
      <c r="D332" s="582" t="s">
        <v>40</v>
      </c>
      <c r="E332" s="583" t="s">
        <v>554</v>
      </c>
      <c r="F332" s="584"/>
      <c r="G332" s="585" t="s">
        <v>199</v>
      </c>
      <c r="H332" s="726"/>
      <c r="I332" s="674" t="s">
        <v>155</v>
      </c>
      <c r="J332" s="674"/>
      <c r="K332" s="588"/>
      <c r="L332" s="892">
        <f>1.02*4960</f>
        <v>5059.2</v>
      </c>
      <c r="M332" s="508">
        <f t="shared" si="18"/>
        <v>6324</v>
      </c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</row>
    <row r="333" spans="1:223" s="6" customFormat="1" ht="34.5" customHeight="1">
      <c r="A333" s="435"/>
      <c r="B333" s="463" t="s">
        <v>1057</v>
      </c>
      <c r="C333" s="464" t="s">
        <v>96</v>
      </c>
      <c r="D333" s="465" t="s">
        <v>1599</v>
      </c>
      <c r="E333" s="466" t="s">
        <v>27</v>
      </c>
      <c r="F333" s="727"/>
      <c r="G333" s="468" t="s">
        <v>231</v>
      </c>
      <c r="H333" s="715"/>
      <c r="I333" s="528" t="s">
        <v>163</v>
      </c>
      <c r="J333" s="528" t="s">
        <v>481</v>
      </c>
      <c r="K333" s="514"/>
      <c r="L333" s="896">
        <f>1.02*3810</f>
        <v>3886.2000000000003</v>
      </c>
      <c r="M333" s="508">
        <f t="shared" si="18"/>
        <v>4857.75</v>
      </c>
      <c r="N333" s="202"/>
      <c r="O333" s="202"/>
      <c r="P333" s="202"/>
      <c r="Q333" s="202"/>
      <c r="R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</row>
    <row r="334" spans="1:223" ht="37.5" customHeight="1">
      <c r="A334" s="421"/>
      <c r="B334" s="648" t="s">
        <v>1058</v>
      </c>
      <c r="C334" s="649" t="s">
        <v>96</v>
      </c>
      <c r="D334" s="650" t="s">
        <v>1600</v>
      </c>
      <c r="E334" s="651" t="s">
        <v>27</v>
      </c>
      <c r="F334" s="652" t="s">
        <v>32</v>
      </c>
      <c r="G334" s="653" t="s">
        <v>199</v>
      </c>
      <c r="H334" s="728" t="s">
        <v>145</v>
      </c>
      <c r="I334" s="660" t="s">
        <v>163</v>
      </c>
      <c r="J334" s="660" t="s">
        <v>570</v>
      </c>
      <c r="K334" s="729"/>
      <c r="L334" s="896">
        <f>1.02*2199</f>
        <v>2242.98</v>
      </c>
      <c r="M334" s="730">
        <f t="shared" si="18"/>
        <v>2803.7249999999999</v>
      </c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</row>
    <row r="335" spans="1:223" ht="21.75" customHeight="1">
      <c r="A335" s="421"/>
      <c r="B335" s="550" t="s">
        <v>1059</v>
      </c>
      <c r="C335" s="551" t="s">
        <v>96</v>
      </c>
      <c r="D335" s="557" t="s">
        <v>1601</v>
      </c>
      <c r="E335" s="552" t="s">
        <v>458</v>
      </c>
      <c r="F335" s="731"/>
      <c r="G335" s="662" t="s">
        <v>177</v>
      </c>
      <c r="H335" s="558" t="s">
        <v>145</v>
      </c>
      <c r="I335" s="663" t="s">
        <v>241</v>
      </c>
      <c r="J335" s="663" t="s">
        <v>481</v>
      </c>
      <c r="K335" s="732"/>
      <c r="L335" s="892">
        <f>1.02*4220</f>
        <v>4304.3999999999996</v>
      </c>
      <c r="M335" s="508">
        <f t="shared" si="18"/>
        <v>5380.5</v>
      </c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</row>
    <row r="336" spans="1:223" ht="21.75" customHeight="1">
      <c r="A336" s="421"/>
      <c r="B336" s="733" t="s">
        <v>1060</v>
      </c>
      <c r="C336" s="733" t="s">
        <v>96</v>
      </c>
      <c r="D336" s="734" t="s">
        <v>1602</v>
      </c>
      <c r="E336" s="735" t="s">
        <v>771</v>
      </c>
      <c r="F336" s="553"/>
      <c r="G336" s="662" t="s">
        <v>176</v>
      </c>
      <c r="H336" s="736" t="s">
        <v>439</v>
      </c>
      <c r="I336" s="737" t="s">
        <v>155</v>
      </c>
      <c r="J336" s="738" t="s">
        <v>570</v>
      </c>
      <c r="K336" s="737"/>
      <c r="L336" s="892">
        <f>1.02*4790</f>
        <v>4885.8</v>
      </c>
      <c r="M336" s="508">
        <f t="shared" si="18"/>
        <v>6107.25</v>
      </c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</row>
    <row r="337" spans="1:228" ht="23.25" customHeight="1">
      <c r="A337" s="421"/>
      <c r="B337" s="733" t="s">
        <v>1061</v>
      </c>
      <c r="C337" s="733" t="s">
        <v>96</v>
      </c>
      <c r="D337" s="734" t="s">
        <v>1603</v>
      </c>
      <c r="E337" s="735" t="s">
        <v>437</v>
      </c>
      <c r="F337" s="483"/>
      <c r="G337" s="662" t="s">
        <v>575</v>
      </c>
      <c r="H337" s="558" t="s">
        <v>145</v>
      </c>
      <c r="I337" s="737"/>
      <c r="J337" s="738" t="s">
        <v>570</v>
      </c>
      <c r="K337" s="737"/>
      <c r="L337" s="892">
        <f>1.02*5880</f>
        <v>5997.6</v>
      </c>
      <c r="M337" s="508">
        <f t="shared" si="18"/>
        <v>7497</v>
      </c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</row>
    <row r="338" spans="1:228" ht="35.25" customHeight="1">
      <c r="A338" s="421"/>
      <c r="B338" s="463" t="s">
        <v>1062</v>
      </c>
      <c r="C338" s="464" t="s">
        <v>96</v>
      </c>
      <c r="D338" s="465" t="s">
        <v>1604</v>
      </c>
      <c r="E338" s="466" t="s">
        <v>99</v>
      </c>
      <c r="F338" s="512"/>
      <c r="G338" s="662" t="s">
        <v>178</v>
      </c>
      <c r="H338" s="558" t="s">
        <v>145</v>
      </c>
      <c r="I338" s="739" t="s">
        <v>151</v>
      </c>
      <c r="J338" s="739" t="s">
        <v>481</v>
      </c>
      <c r="K338" s="732"/>
      <c r="L338" s="892">
        <f>1.02*5550</f>
        <v>5661</v>
      </c>
      <c r="M338" s="508">
        <f t="shared" si="18"/>
        <v>7076.25</v>
      </c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</row>
    <row r="339" spans="1:228" s="231" customFormat="1" ht="25.5" customHeight="1">
      <c r="A339" s="440"/>
      <c r="B339" s="463" t="s">
        <v>1063</v>
      </c>
      <c r="C339" s="464" t="s">
        <v>96</v>
      </c>
      <c r="D339" s="465" t="s">
        <v>1605</v>
      </c>
      <c r="E339" s="466" t="s">
        <v>437</v>
      </c>
      <c r="F339" s="553"/>
      <c r="G339" s="662" t="s">
        <v>514</v>
      </c>
      <c r="H339" s="736" t="s">
        <v>439</v>
      </c>
      <c r="I339" s="739" t="s">
        <v>151</v>
      </c>
      <c r="J339" s="740" t="s">
        <v>570</v>
      </c>
      <c r="K339" s="732"/>
      <c r="L339" s="897">
        <f>1.02*5550</f>
        <v>5661</v>
      </c>
      <c r="M339" s="508">
        <f t="shared" si="18"/>
        <v>7076.25</v>
      </c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  <c r="Y339" s="229"/>
      <c r="Z339" s="229"/>
      <c r="AA339" s="229"/>
      <c r="AB339" s="229"/>
      <c r="AC339" s="229"/>
      <c r="AD339" s="229"/>
      <c r="AE339" s="229"/>
      <c r="AF339" s="229"/>
      <c r="AG339" s="229"/>
      <c r="AH339" s="229"/>
      <c r="AI339" s="229"/>
      <c r="AJ339" s="230"/>
      <c r="AK339" s="230"/>
      <c r="AL339" s="230"/>
      <c r="AM339" s="230"/>
      <c r="AN339" s="230"/>
      <c r="AO339" s="230"/>
      <c r="AP339" s="230"/>
      <c r="AQ339" s="230"/>
      <c r="AR339" s="230"/>
      <c r="AS339" s="230"/>
      <c r="AT339" s="230"/>
      <c r="AU339" s="230"/>
      <c r="AV339" s="230"/>
      <c r="AW339" s="230"/>
      <c r="AX339" s="230"/>
      <c r="AY339" s="230"/>
      <c r="AZ339" s="230"/>
      <c r="BA339" s="230"/>
      <c r="BB339" s="230"/>
      <c r="BC339" s="230"/>
      <c r="BD339" s="230"/>
      <c r="BE339" s="230"/>
      <c r="BF339" s="230"/>
      <c r="BG339" s="230"/>
      <c r="BH339" s="230"/>
      <c r="BI339" s="230"/>
      <c r="BJ339" s="230"/>
      <c r="BK339" s="230"/>
      <c r="BL339" s="230"/>
      <c r="BM339" s="230"/>
      <c r="BN339" s="230"/>
      <c r="BO339" s="230"/>
      <c r="BP339" s="230"/>
      <c r="BQ339" s="230"/>
      <c r="BR339" s="230"/>
      <c r="BS339" s="230"/>
      <c r="BT339" s="230"/>
      <c r="BU339" s="230"/>
      <c r="BV339" s="230"/>
      <c r="BW339" s="230"/>
      <c r="BX339" s="230"/>
      <c r="BY339" s="230"/>
      <c r="BZ339" s="230"/>
      <c r="CA339" s="230"/>
      <c r="CB339" s="230"/>
      <c r="CC339" s="230"/>
      <c r="CD339" s="230"/>
      <c r="CE339" s="230"/>
      <c r="CF339" s="230"/>
      <c r="CG339" s="230"/>
      <c r="CH339" s="230"/>
      <c r="CI339" s="230"/>
      <c r="CJ339" s="230"/>
      <c r="CK339" s="230"/>
      <c r="CL339" s="230"/>
      <c r="CM339" s="230"/>
      <c r="CN339" s="230"/>
      <c r="CO339" s="230"/>
      <c r="CP339" s="230"/>
      <c r="CQ339" s="230"/>
      <c r="CR339" s="230"/>
      <c r="CS339" s="230"/>
      <c r="CT339" s="230"/>
      <c r="CU339" s="230"/>
      <c r="CV339" s="230"/>
      <c r="CW339" s="230"/>
      <c r="CX339" s="230"/>
      <c r="CY339" s="230"/>
      <c r="CZ339" s="230"/>
      <c r="DA339" s="230"/>
      <c r="DB339" s="230"/>
      <c r="DC339" s="230"/>
      <c r="DD339" s="230"/>
      <c r="DE339" s="230"/>
      <c r="DF339" s="230"/>
      <c r="DG339" s="230"/>
      <c r="DH339" s="230"/>
      <c r="DI339" s="230"/>
      <c r="DJ339" s="230"/>
      <c r="DK339" s="230"/>
      <c r="DL339" s="230"/>
      <c r="DM339" s="230"/>
      <c r="DN339" s="230"/>
      <c r="DO339" s="230"/>
      <c r="DP339" s="230"/>
      <c r="DQ339" s="230"/>
      <c r="DR339" s="230"/>
      <c r="DS339" s="230"/>
      <c r="DT339" s="230"/>
      <c r="DU339" s="230"/>
      <c r="DV339" s="230"/>
      <c r="DW339" s="230"/>
      <c r="DX339" s="230"/>
      <c r="DY339" s="230"/>
      <c r="DZ339" s="230"/>
      <c r="EA339" s="230"/>
      <c r="EB339" s="230"/>
      <c r="EC339" s="230"/>
      <c r="ED339" s="230"/>
      <c r="EE339" s="230"/>
      <c r="EF339" s="230"/>
      <c r="EG339" s="230"/>
      <c r="EH339" s="230"/>
      <c r="EI339" s="230"/>
      <c r="EJ339" s="230"/>
      <c r="EK339" s="230"/>
      <c r="EL339" s="230"/>
      <c r="EM339" s="230"/>
      <c r="EN339" s="230"/>
      <c r="EO339" s="230"/>
      <c r="EP339" s="230"/>
      <c r="EQ339" s="230"/>
      <c r="ER339" s="230"/>
      <c r="ES339" s="230"/>
      <c r="ET339" s="230"/>
      <c r="EU339" s="230"/>
      <c r="EV339" s="230"/>
      <c r="EW339" s="230"/>
      <c r="EX339" s="230"/>
      <c r="EY339" s="230"/>
      <c r="EZ339" s="230"/>
      <c r="FA339" s="230"/>
      <c r="FB339" s="230"/>
      <c r="FC339" s="230"/>
      <c r="FD339" s="230"/>
      <c r="FE339" s="230"/>
      <c r="FF339" s="230"/>
      <c r="FG339" s="230"/>
      <c r="FH339" s="230"/>
      <c r="FI339" s="230"/>
      <c r="FJ339" s="230"/>
      <c r="FK339" s="230"/>
      <c r="FL339" s="230"/>
      <c r="FM339" s="230"/>
      <c r="FN339" s="230"/>
      <c r="FO339" s="230"/>
      <c r="FP339" s="230"/>
      <c r="FQ339" s="230"/>
      <c r="FR339" s="230"/>
      <c r="FS339" s="230"/>
      <c r="FT339" s="230"/>
      <c r="FU339" s="230"/>
      <c r="FV339" s="230"/>
      <c r="FW339" s="230"/>
      <c r="FX339" s="230"/>
      <c r="FY339" s="230"/>
      <c r="FZ339" s="230"/>
      <c r="GA339" s="230"/>
      <c r="GB339" s="230"/>
      <c r="GC339" s="230"/>
      <c r="GD339" s="230"/>
      <c r="GE339" s="230"/>
      <c r="GF339" s="230"/>
      <c r="GG339" s="230"/>
      <c r="GH339" s="230"/>
      <c r="GI339" s="230"/>
      <c r="GJ339" s="230"/>
      <c r="GK339" s="230"/>
      <c r="GL339" s="230"/>
      <c r="GM339" s="230"/>
      <c r="GN339" s="230"/>
      <c r="GO339" s="230"/>
      <c r="GP339" s="230"/>
      <c r="GQ339" s="230"/>
      <c r="GR339" s="230"/>
      <c r="GS339" s="230"/>
      <c r="GT339" s="230"/>
      <c r="GU339" s="230"/>
      <c r="GV339" s="230"/>
      <c r="GW339" s="230"/>
      <c r="GX339" s="230"/>
      <c r="GY339" s="230"/>
      <c r="GZ339" s="230"/>
      <c r="HA339" s="230"/>
      <c r="HB339" s="230"/>
      <c r="HC339" s="230"/>
      <c r="HD339" s="230"/>
      <c r="HE339" s="230"/>
      <c r="HF339" s="230"/>
      <c r="HG339" s="230"/>
      <c r="HH339" s="230"/>
      <c r="HI339" s="230"/>
      <c r="HJ339" s="230"/>
      <c r="HK339" s="230"/>
      <c r="HL339" s="230"/>
      <c r="HM339" s="230"/>
      <c r="HN339" s="230"/>
      <c r="HO339" s="230"/>
    </row>
    <row r="340" spans="1:228" ht="23.25" customHeight="1">
      <c r="A340" s="421"/>
      <c r="B340" s="570"/>
      <c r="C340" s="571"/>
      <c r="D340" s="572" t="s">
        <v>325</v>
      </c>
      <c r="E340" s="573"/>
      <c r="F340" s="607"/>
      <c r="G340" s="641"/>
      <c r="H340" s="607"/>
      <c r="I340" s="504"/>
      <c r="J340" s="504"/>
      <c r="K340" s="519"/>
      <c r="L340" s="892"/>
      <c r="M340" s="508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</row>
    <row r="341" spans="1:228" ht="46.5" customHeight="1">
      <c r="A341" s="421"/>
      <c r="B341" s="580" t="s">
        <v>866</v>
      </c>
      <c r="C341" s="581" t="s">
        <v>96</v>
      </c>
      <c r="D341" s="582" t="s">
        <v>1499</v>
      </c>
      <c r="E341" s="583" t="s">
        <v>459</v>
      </c>
      <c r="F341" s="584" t="s">
        <v>32</v>
      </c>
      <c r="G341" s="585" t="s">
        <v>204</v>
      </c>
      <c r="H341" s="741" t="s">
        <v>145</v>
      </c>
      <c r="I341" s="674" t="s">
        <v>155</v>
      </c>
      <c r="J341" s="674" t="s">
        <v>481</v>
      </c>
      <c r="K341" s="588"/>
      <c r="L341" s="892">
        <f>1.02*6040</f>
        <v>6160.8</v>
      </c>
      <c r="M341" s="508">
        <f t="shared" ref="M341:M350" si="19">L341*1.25</f>
        <v>7701</v>
      </c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</row>
    <row r="342" spans="1:228" ht="55.5" customHeight="1">
      <c r="A342" s="421"/>
      <c r="B342" s="529" t="s">
        <v>870</v>
      </c>
      <c r="C342" s="464" t="s">
        <v>96</v>
      </c>
      <c r="D342" s="742" t="s">
        <v>773</v>
      </c>
      <c r="E342" s="617" t="s">
        <v>477</v>
      </c>
      <c r="F342" s="467"/>
      <c r="G342" s="593" t="s">
        <v>476</v>
      </c>
      <c r="H342" s="474" t="s">
        <v>145</v>
      </c>
      <c r="I342" s="475" t="s">
        <v>148</v>
      </c>
      <c r="J342" s="594" t="s">
        <v>508</v>
      </c>
      <c r="K342" s="477"/>
      <c r="L342" s="892">
        <f>1.02*5260</f>
        <v>5365.2</v>
      </c>
      <c r="M342" s="508">
        <f t="shared" si="19"/>
        <v>6706.5</v>
      </c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</row>
    <row r="343" spans="1:228" ht="46.5" customHeight="1">
      <c r="A343" s="421"/>
      <c r="B343" s="463" t="s">
        <v>872</v>
      </c>
      <c r="C343" s="464" t="s">
        <v>144</v>
      </c>
      <c r="D343" s="589" t="s">
        <v>1606</v>
      </c>
      <c r="E343" s="466" t="s">
        <v>117</v>
      </c>
      <c r="F343" s="467"/>
      <c r="G343" s="480" t="s">
        <v>244</v>
      </c>
      <c r="H343" s="595"/>
      <c r="I343" s="481" t="s">
        <v>163</v>
      </c>
      <c r="J343" s="481" t="s">
        <v>481</v>
      </c>
      <c r="K343" s="477"/>
      <c r="L343" s="892">
        <f>1.02*11730</f>
        <v>11964.6</v>
      </c>
      <c r="M343" s="508">
        <f t="shared" si="19"/>
        <v>14955.75</v>
      </c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</row>
    <row r="344" spans="1:228" ht="46.5" customHeight="1">
      <c r="A344" s="421"/>
      <c r="B344" s="463" t="s">
        <v>1240</v>
      </c>
      <c r="C344" s="464" t="s">
        <v>103</v>
      </c>
      <c r="D344" s="589" t="s">
        <v>1607</v>
      </c>
      <c r="E344" s="466" t="s">
        <v>117</v>
      </c>
      <c r="F344" s="542" t="s">
        <v>1231</v>
      </c>
      <c r="G344" s="480"/>
      <c r="H344" s="595"/>
      <c r="I344" s="481" t="s">
        <v>163</v>
      </c>
      <c r="J344" s="481" t="s">
        <v>481</v>
      </c>
      <c r="K344" s="477"/>
      <c r="L344" s="892">
        <f>1.02*7640</f>
        <v>7792.8</v>
      </c>
      <c r="M344" s="508">
        <f t="shared" si="19"/>
        <v>9741</v>
      </c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</row>
    <row r="345" spans="1:228" ht="46.5" customHeight="1">
      <c r="A345" s="421"/>
      <c r="B345" s="463" t="s">
        <v>1064</v>
      </c>
      <c r="C345" s="464" t="s">
        <v>96</v>
      </c>
      <c r="D345" s="589" t="s">
        <v>1608</v>
      </c>
      <c r="E345" s="466" t="s">
        <v>437</v>
      </c>
      <c r="F345" s="483"/>
      <c r="G345" s="480" t="s">
        <v>568</v>
      </c>
      <c r="H345" s="702"/>
      <c r="I345" s="481" t="s">
        <v>148</v>
      </c>
      <c r="J345" s="507" t="s">
        <v>481</v>
      </c>
      <c r="K345" s="477"/>
      <c r="L345" s="892">
        <f>1.02*5880</f>
        <v>5997.6</v>
      </c>
      <c r="M345" s="508">
        <f t="shared" si="19"/>
        <v>7497</v>
      </c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</row>
    <row r="346" spans="1:228" ht="46.5" customHeight="1">
      <c r="A346" s="421"/>
      <c r="B346" s="463" t="s">
        <v>1016</v>
      </c>
      <c r="C346" s="464" t="s">
        <v>96</v>
      </c>
      <c r="D346" s="589">
        <v>4008</v>
      </c>
      <c r="E346" s="466" t="s">
        <v>368</v>
      </c>
      <c r="F346" s="467"/>
      <c r="G346" s="480" t="s">
        <v>427</v>
      </c>
      <c r="H346" s="474" t="s">
        <v>145</v>
      </c>
      <c r="I346" s="481" t="s">
        <v>428</v>
      </c>
      <c r="J346" s="471"/>
      <c r="K346" s="590"/>
      <c r="L346" s="892">
        <f>1.02*5310</f>
        <v>5416.2</v>
      </c>
      <c r="M346" s="508">
        <f t="shared" si="19"/>
        <v>6770.25</v>
      </c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</row>
    <row r="347" spans="1:228" s="75" customFormat="1" ht="82.5" customHeight="1">
      <c r="A347" s="421"/>
      <c r="B347" s="529" t="s">
        <v>868</v>
      </c>
      <c r="C347" s="464" t="s">
        <v>96</v>
      </c>
      <c r="D347" s="465" t="s">
        <v>1500</v>
      </c>
      <c r="E347" s="617" t="s">
        <v>41</v>
      </c>
      <c r="F347" s="467"/>
      <c r="G347" s="593" t="s">
        <v>231</v>
      </c>
      <c r="H347" s="469"/>
      <c r="I347" s="475" t="s">
        <v>155</v>
      </c>
      <c r="J347" s="481" t="s">
        <v>481</v>
      </c>
      <c r="K347" s="477"/>
      <c r="L347" s="892">
        <f>1.02*5290</f>
        <v>5395.8</v>
      </c>
      <c r="M347" s="508">
        <f t="shared" si="19"/>
        <v>6744.75</v>
      </c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8"/>
      <c r="HQ347" s="8"/>
      <c r="HR347" s="8"/>
      <c r="HS347" s="8"/>
      <c r="HT347" s="8"/>
    </row>
    <row r="348" spans="1:228" s="8" customFormat="1" ht="59.25" customHeight="1">
      <c r="A348" s="421"/>
      <c r="B348" s="596" t="s">
        <v>873</v>
      </c>
      <c r="C348" s="490" t="s">
        <v>92</v>
      </c>
      <c r="D348" s="597" t="s">
        <v>774</v>
      </c>
      <c r="E348" s="598" t="s">
        <v>109</v>
      </c>
      <c r="F348" s="525"/>
      <c r="G348" s="599" t="s">
        <v>243</v>
      </c>
      <c r="H348" s="600"/>
      <c r="I348" s="601" t="s">
        <v>161</v>
      </c>
      <c r="J348" s="601" t="s">
        <v>481</v>
      </c>
      <c r="K348" s="601"/>
      <c r="L348" s="892">
        <v>9500</v>
      </c>
      <c r="M348" s="498">
        <f t="shared" si="19"/>
        <v>11875</v>
      </c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75"/>
      <c r="HQ348" s="75"/>
      <c r="HR348" s="75"/>
      <c r="HS348" s="75"/>
      <c r="HT348" s="75"/>
    </row>
    <row r="349" spans="1:228" s="8" customFormat="1" ht="61.5" customHeight="1">
      <c r="A349" s="421"/>
      <c r="B349" s="529" t="s">
        <v>604</v>
      </c>
      <c r="C349" s="464" t="s">
        <v>92</v>
      </c>
      <c r="D349" s="616" t="s">
        <v>1609</v>
      </c>
      <c r="E349" s="617" t="s">
        <v>109</v>
      </c>
      <c r="F349" s="520"/>
      <c r="G349" s="593"/>
      <c r="H349" s="479"/>
      <c r="I349" s="507" t="s">
        <v>605</v>
      </c>
      <c r="J349" s="507" t="s">
        <v>481</v>
      </c>
      <c r="K349" s="471"/>
      <c r="L349" s="892">
        <f>1.02*10200</f>
        <v>10404</v>
      </c>
      <c r="M349" s="508">
        <f t="shared" si="19"/>
        <v>13005</v>
      </c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</row>
    <row r="350" spans="1:228" s="8" customFormat="1" ht="46.5" customHeight="1">
      <c r="A350" s="421"/>
      <c r="B350" s="463" t="s">
        <v>867</v>
      </c>
      <c r="C350" s="464" t="s">
        <v>96</v>
      </c>
      <c r="D350" s="465" t="s">
        <v>14</v>
      </c>
      <c r="E350" s="466" t="s">
        <v>266</v>
      </c>
      <c r="F350" s="467"/>
      <c r="G350" s="468" t="s">
        <v>220</v>
      </c>
      <c r="H350" s="479" t="s">
        <v>145</v>
      </c>
      <c r="I350" s="481" t="s">
        <v>150</v>
      </c>
      <c r="J350" s="481"/>
      <c r="K350" s="471"/>
      <c r="L350" s="892">
        <f>1.02*5950</f>
        <v>6069</v>
      </c>
      <c r="M350" s="508">
        <f t="shared" si="19"/>
        <v>7586.25</v>
      </c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</row>
    <row r="351" spans="1:228" s="53" customFormat="1" ht="16.5" customHeight="1">
      <c r="A351" s="421"/>
      <c r="B351" s="536"/>
      <c r="C351" s="537"/>
      <c r="D351" s="516" t="s">
        <v>102</v>
      </c>
      <c r="E351" s="536"/>
      <c r="F351" s="607"/>
      <c r="G351" s="503"/>
      <c r="H351" s="607"/>
      <c r="I351" s="504"/>
      <c r="J351" s="504"/>
      <c r="K351" s="519"/>
      <c r="L351" s="892"/>
      <c r="M351" s="508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  <c r="BH351" s="52"/>
      <c r="BI351" s="52"/>
      <c r="BJ351" s="52"/>
      <c r="BK351" s="52"/>
      <c r="BL351" s="52"/>
      <c r="BM351" s="52"/>
      <c r="BN351" s="52"/>
      <c r="BO351" s="52"/>
      <c r="BP351" s="52"/>
      <c r="BQ351" s="52"/>
      <c r="BR351" s="52"/>
      <c r="BS351" s="52"/>
      <c r="BT351" s="52"/>
      <c r="BU351" s="52"/>
      <c r="BV351" s="52"/>
      <c r="BW351" s="52"/>
      <c r="BX351" s="52"/>
      <c r="BY351" s="52"/>
      <c r="BZ351" s="52"/>
      <c r="CA351" s="52"/>
      <c r="CB351" s="52"/>
      <c r="CC351" s="52"/>
      <c r="CD351" s="52"/>
      <c r="CE351" s="52"/>
      <c r="CF351" s="52"/>
      <c r="CG351" s="52"/>
      <c r="CH351" s="52"/>
      <c r="CI351" s="52"/>
      <c r="CJ351" s="52"/>
      <c r="CK351" s="52"/>
      <c r="CL351" s="52"/>
      <c r="CM351" s="52"/>
      <c r="CN351" s="52"/>
      <c r="CO351" s="52"/>
      <c r="CP351" s="52"/>
      <c r="CQ351" s="52"/>
      <c r="CR351" s="52"/>
      <c r="CS351" s="52"/>
      <c r="CT351" s="52"/>
      <c r="CU351" s="52"/>
      <c r="CV351" s="52"/>
      <c r="CW351" s="52"/>
      <c r="CX351" s="52"/>
      <c r="CY351" s="52"/>
      <c r="CZ351" s="52"/>
      <c r="DA351" s="52"/>
      <c r="DB351" s="52"/>
      <c r="DC351" s="52"/>
      <c r="DD351" s="52"/>
      <c r="DE351" s="52"/>
      <c r="DF351" s="52"/>
      <c r="DG351" s="52"/>
      <c r="DH351" s="52"/>
      <c r="DI351" s="52"/>
      <c r="DJ351" s="52"/>
      <c r="DK351" s="52"/>
      <c r="DL351" s="52"/>
      <c r="DM351" s="52"/>
      <c r="DN351" s="52"/>
      <c r="DO351" s="52"/>
      <c r="DP351" s="52"/>
      <c r="DQ351" s="52"/>
      <c r="DR351" s="52"/>
      <c r="DS351" s="52"/>
      <c r="DT351" s="52"/>
      <c r="DU351" s="52"/>
      <c r="DV351" s="52"/>
      <c r="DW351" s="52"/>
      <c r="DX351" s="52"/>
      <c r="DY351" s="52"/>
      <c r="DZ351" s="52"/>
      <c r="EA351" s="52"/>
      <c r="EB351" s="52"/>
      <c r="EC351" s="52"/>
      <c r="ED351" s="52"/>
      <c r="EE351" s="52"/>
      <c r="EF351" s="52"/>
      <c r="EG351" s="52"/>
      <c r="EH351" s="52"/>
      <c r="EI351" s="52"/>
      <c r="EJ351" s="52"/>
      <c r="EK351" s="52"/>
      <c r="EL351" s="52"/>
      <c r="EM351" s="52"/>
      <c r="EN351" s="52"/>
      <c r="EO351" s="52"/>
      <c r="EP351" s="52"/>
      <c r="EQ351" s="52"/>
      <c r="ER351" s="52"/>
      <c r="ES351" s="52"/>
      <c r="ET351" s="52"/>
      <c r="EU351" s="52"/>
      <c r="EV351" s="52"/>
      <c r="EW351" s="52"/>
      <c r="EX351" s="52"/>
      <c r="EY351" s="52"/>
      <c r="EZ351" s="52"/>
      <c r="FA351" s="52"/>
      <c r="FB351" s="52"/>
      <c r="FC351" s="52"/>
      <c r="FD351" s="52"/>
      <c r="FE351" s="52"/>
      <c r="FF351" s="52"/>
      <c r="FG351" s="52"/>
      <c r="FH351" s="52"/>
      <c r="FI351" s="52"/>
      <c r="FJ351" s="52"/>
      <c r="FK351" s="52"/>
      <c r="FL351" s="52"/>
      <c r="FM351" s="52"/>
      <c r="FN351" s="52"/>
      <c r="FO351" s="52"/>
      <c r="FP351" s="52"/>
      <c r="FQ351" s="52"/>
      <c r="FR351" s="52"/>
      <c r="FS351" s="52"/>
      <c r="FT351" s="52"/>
      <c r="FU351" s="52"/>
      <c r="FV351" s="52"/>
      <c r="FW351" s="52"/>
      <c r="FX351" s="52"/>
      <c r="FY351" s="52"/>
      <c r="FZ351" s="52"/>
      <c r="GA351" s="52"/>
      <c r="GB351" s="52"/>
      <c r="GC351" s="52"/>
      <c r="GD351" s="52"/>
      <c r="GE351" s="52"/>
      <c r="GF351" s="52"/>
      <c r="GG351" s="52"/>
      <c r="GH351" s="52"/>
      <c r="GI351" s="52"/>
      <c r="GJ351" s="52"/>
      <c r="GK351" s="52"/>
      <c r="GL351" s="52"/>
      <c r="GM351" s="52"/>
      <c r="GN351" s="52"/>
      <c r="GO351" s="52"/>
      <c r="GP351" s="52"/>
      <c r="GQ351" s="52"/>
      <c r="GR351" s="52"/>
      <c r="GS351" s="52"/>
      <c r="GT351" s="52"/>
      <c r="GU351" s="52"/>
      <c r="GV351" s="52"/>
      <c r="GW351" s="52"/>
      <c r="GX351" s="52"/>
      <c r="GY351" s="52"/>
      <c r="GZ351" s="52"/>
      <c r="HA351" s="52"/>
      <c r="HB351" s="52"/>
      <c r="HC351" s="52"/>
      <c r="HD351" s="52"/>
      <c r="HE351" s="52"/>
      <c r="HF351" s="52"/>
      <c r="HG351" s="52"/>
      <c r="HH351" s="52"/>
      <c r="HI351" s="52"/>
      <c r="HJ351" s="52"/>
      <c r="HK351" s="52"/>
      <c r="HL351" s="52"/>
      <c r="HM351" s="52"/>
      <c r="HN351" s="52"/>
      <c r="HO351" s="52"/>
    </row>
    <row r="352" spans="1:228" ht="26.25" customHeight="1">
      <c r="A352" s="421"/>
      <c r="B352" s="463" t="s">
        <v>1065</v>
      </c>
      <c r="C352" s="464" t="s">
        <v>96</v>
      </c>
      <c r="D352" s="465" t="s">
        <v>1610</v>
      </c>
      <c r="E352" s="466" t="s">
        <v>1416</v>
      </c>
      <c r="F352" s="467"/>
      <c r="G352" s="468" t="s">
        <v>218</v>
      </c>
      <c r="H352" s="474" t="s">
        <v>145</v>
      </c>
      <c r="I352" s="470" t="s">
        <v>151</v>
      </c>
      <c r="J352" s="507" t="s">
        <v>481</v>
      </c>
      <c r="K352" s="471"/>
      <c r="L352" s="892">
        <f>1.02*8900</f>
        <v>9078</v>
      </c>
      <c r="M352" s="508">
        <f>L352*1.25</f>
        <v>11347.5</v>
      </c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</row>
    <row r="353" spans="1:228" s="4" customFormat="1" ht="22.5" customHeight="1">
      <c r="A353" s="421"/>
      <c r="B353" s="743" t="s">
        <v>1369</v>
      </c>
      <c r="C353" s="743" t="s">
        <v>96</v>
      </c>
      <c r="D353" s="744" t="s">
        <v>1611</v>
      </c>
      <c r="E353" s="745" t="s">
        <v>1414</v>
      </c>
      <c r="F353" s="746" t="s">
        <v>1351</v>
      </c>
      <c r="G353" s="747" t="s">
        <v>1371</v>
      </c>
      <c r="H353" s="474" t="s">
        <v>145</v>
      </c>
      <c r="I353" s="739" t="s">
        <v>48</v>
      </c>
      <c r="J353" s="739" t="s">
        <v>481</v>
      </c>
      <c r="K353" s="748"/>
      <c r="L353" s="897">
        <f>1.02*6900</f>
        <v>7038</v>
      </c>
      <c r="M353" s="508">
        <f>L353*1.25</f>
        <v>8797.5</v>
      </c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</row>
    <row r="354" spans="1:228" s="4" customFormat="1" ht="36" customHeight="1">
      <c r="A354" s="421"/>
      <c r="B354" s="489" t="s">
        <v>1300</v>
      </c>
      <c r="C354" s="490" t="s">
        <v>471</v>
      </c>
      <c r="D354" s="491" t="s">
        <v>1612</v>
      </c>
      <c r="E354" s="492" t="s">
        <v>1415</v>
      </c>
      <c r="F354" s="525" t="s">
        <v>1213</v>
      </c>
      <c r="G354" s="494" t="s">
        <v>1303</v>
      </c>
      <c r="H354" s="495" t="s">
        <v>145</v>
      </c>
      <c r="I354" s="496" t="s">
        <v>48</v>
      </c>
      <c r="J354" s="496" t="s">
        <v>1302</v>
      </c>
      <c r="K354" s="497"/>
      <c r="L354" s="892">
        <v>15100</v>
      </c>
      <c r="M354" s="498">
        <f>L354*1.25</f>
        <v>18875</v>
      </c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</row>
    <row r="355" spans="1:228" ht="31.5" customHeight="1">
      <c r="A355" s="421"/>
      <c r="B355" s="463" t="s">
        <v>1282</v>
      </c>
      <c r="C355" s="464" t="s">
        <v>96</v>
      </c>
      <c r="D355" s="465" t="s">
        <v>1613</v>
      </c>
      <c r="E355" s="466" t="s">
        <v>549</v>
      </c>
      <c r="F355" s="542" t="s">
        <v>1231</v>
      </c>
      <c r="G355" s="468" t="s">
        <v>1283</v>
      </c>
      <c r="H355" s="474" t="s">
        <v>145</v>
      </c>
      <c r="I355" s="470" t="s">
        <v>161</v>
      </c>
      <c r="J355" s="507" t="s">
        <v>481</v>
      </c>
      <c r="K355" s="471"/>
      <c r="L355" s="892">
        <f>1.02*8900</f>
        <v>9078</v>
      </c>
      <c r="M355" s="508">
        <f>L355*1.25</f>
        <v>11347.5</v>
      </c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</row>
    <row r="356" spans="1:228" s="52" customFormat="1" ht="23.25" customHeight="1">
      <c r="A356" s="421"/>
      <c r="B356" s="499"/>
      <c r="C356" s="515"/>
      <c r="D356" s="500" t="s">
        <v>326</v>
      </c>
      <c r="E356" s="501"/>
      <c r="F356" s="502"/>
      <c r="G356" s="503"/>
      <c r="H356" s="502"/>
      <c r="I356" s="504"/>
      <c r="J356" s="505"/>
      <c r="K356" s="506"/>
      <c r="L356" s="892"/>
      <c r="M356" s="508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</row>
    <row r="357" spans="1:228" s="9" customFormat="1" ht="26.25" customHeight="1">
      <c r="A357" s="421"/>
      <c r="B357" s="489" t="s">
        <v>1066</v>
      </c>
      <c r="C357" s="490" t="s">
        <v>96</v>
      </c>
      <c r="D357" s="491" t="s">
        <v>1418</v>
      </c>
      <c r="E357" s="492" t="s">
        <v>1380</v>
      </c>
      <c r="F357" s="525"/>
      <c r="G357" s="494" t="s">
        <v>219</v>
      </c>
      <c r="H357" s="525"/>
      <c r="I357" s="496" t="s">
        <v>152</v>
      </c>
      <c r="J357" s="496"/>
      <c r="K357" s="497"/>
      <c r="L357" s="892">
        <v>5500</v>
      </c>
      <c r="M357" s="498">
        <f t="shared" ref="M357:M374" si="20">L357*1.25</f>
        <v>6875</v>
      </c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</row>
    <row r="358" spans="1:228" s="9" customFormat="1" ht="23.25" customHeight="1">
      <c r="A358" s="421"/>
      <c r="B358" s="463" t="s">
        <v>1067</v>
      </c>
      <c r="C358" s="464" t="s">
        <v>96</v>
      </c>
      <c r="D358" s="465" t="s">
        <v>717</v>
      </c>
      <c r="E358" s="466" t="s">
        <v>1275</v>
      </c>
      <c r="F358" s="467"/>
      <c r="G358" s="468" t="s">
        <v>227</v>
      </c>
      <c r="H358" s="749" t="s">
        <v>145</v>
      </c>
      <c r="I358" s="528" t="s">
        <v>153</v>
      </c>
      <c r="J358" s="471"/>
      <c r="K358" s="477"/>
      <c r="L358" s="892">
        <f>1.02*5560</f>
        <v>5671.2</v>
      </c>
      <c r="M358" s="508">
        <f t="shared" si="20"/>
        <v>7089</v>
      </c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</row>
    <row r="359" spans="1:228" s="9" customFormat="1" ht="23.25" customHeight="1">
      <c r="A359" s="421"/>
      <c r="B359" s="484" t="s">
        <v>1046</v>
      </c>
      <c r="C359" s="529" t="s">
        <v>96</v>
      </c>
      <c r="D359" s="465" t="s">
        <v>1614</v>
      </c>
      <c r="E359" s="466" t="s">
        <v>1229</v>
      </c>
      <c r="F359" s="483"/>
      <c r="G359" s="480" t="s">
        <v>227</v>
      </c>
      <c r="H359" s="479" t="s">
        <v>145</v>
      </c>
      <c r="I359" s="481" t="s">
        <v>151</v>
      </c>
      <c r="J359" s="507"/>
      <c r="K359" s="706"/>
      <c r="L359" s="892">
        <f>1.02*5430</f>
        <v>5538.6</v>
      </c>
      <c r="M359" s="508">
        <f t="shared" si="20"/>
        <v>6923.25</v>
      </c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4"/>
      <c r="HQ359" s="4"/>
      <c r="HR359" s="4"/>
      <c r="HS359" s="4"/>
      <c r="HT359" s="4"/>
    </row>
    <row r="360" spans="1:228" s="9" customFormat="1" ht="30" customHeight="1">
      <c r="A360" s="421"/>
      <c r="B360" s="463" t="s">
        <v>1068</v>
      </c>
      <c r="C360" s="464" t="s">
        <v>96</v>
      </c>
      <c r="D360" s="465" t="s">
        <v>475</v>
      </c>
      <c r="E360" s="466" t="s">
        <v>435</v>
      </c>
      <c r="F360" s="467"/>
      <c r="G360" s="468" t="s">
        <v>447</v>
      </c>
      <c r="H360" s="749" t="s">
        <v>145</v>
      </c>
      <c r="I360" s="528" t="s">
        <v>446</v>
      </c>
      <c r="J360" s="507" t="s">
        <v>481</v>
      </c>
      <c r="K360" s="477"/>
      <c r="L360" s="892">
        <f>1.02*5200</f>
        <v>5304</v>
      </c>
      <c r="M360" s="508">
        <f t="shared" si="20"/>
        <v>6630</v>
      </c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</row>
    <row r="361" spans="1:228" s="9" customFormat="1" ht="36" customHeight="1">
      <c r="A361" s="421"/>
      <c r="B361" s="529" t="s">
        <v>1069</v>
      </c>
      <c r="C361" s="529" t="s">
        <v>96</v>
      </c>
      <c r="D361" s="625" t="s">
        <v>1615</v>
      </c>
      <c r="E361" s="486" t="s">
        <v>140</v>
      </c>
      <c r="F361" s="512"/>
      <c r="G361" s="480" t="s">
        <v>169</v>
      </c>
      <c r="H361" s="474"/>
      <c r="I361" s="481" t="s">
        <v>149</v>
      </c>
      <c r="J361" s="481" t="s">
        <v>481</v>
      </c>
      <c r="K361" s="477"/>
      <c r="L361" s="892">
        <f>1.02*5640</f>
        <v>5752.8</v>
      </c>
      <c r="M361" s="508">
        <f t="shared" si="20"/>
        <v>7191</v>
      </c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</row>
    <row r="362" spans="1:228" s="9" customFormat="1" ht="31.5" customHeight="1">
      <c r="A362" s="421"/>
      <c r="B362" s="529" t="s">
        <v>1070</v>
      </c>
      <c r="C362" s="529" t="s">
        <v>96</v>
      </c>
      <c r="D362" s="625" t="s">
        <v>303</v>
      </c>
      <c r="E362" s="486" t="s">
        <v>140</v>
      </c>
      <c r="F362" s="603"/>
      <c r="G362" s="480" t="s">
        <v>184</v>
      </c>
      <c r="H362" s="474" t="s">
        <v>145</v>
      </c>
      <c r="I362" s="481" t="s">
        <v>163</v>
      </c>
      <c r="J362" s="481"/>
      <c r="K362" s="477"/>
      <c r="L362" s="892">
        <f>1.02*4620</f>
        <v>4712.3999999999996</v>
      </c>
      <c r="M362" s="508">
        <f t="shared" si="20"/>
        <v>5890.5</v>
      </c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</row>
    <row r="363" spans="1:228" s="9" customFormat="1" ht="22.5" customHeight="1">
      <c r="A363" s="421"/>
      <c r="B363" s="509" t="s">
        <v>1072</v>
      </c>
      <c r="C363" s="750" t="s">
        <v>96</v>
      </c>
      <c r="D363" s="687" t="s">
        <v>1616</v>
      </c>
      <c r="E363" s="751" t="s">
        <v>648</v>
      </c>
      <c r="F363" s="716"/>
      <c r="G363" s="468" t="s">
        <v>578</v>
      </c>
      <c r="H363" s="715"/>
      <c r="I363" s="528" t="s">
        <v>150</v>
      </c>
      <c r="J363" s="707" t="s">
        <v>481</v>
      </c>
      <c r="K363" s="514"/>
      <c r="L363" s="892">
        <f>1.02*4140</f>
        <v>4222.8</v>
      </c>
      <c r="M363" s="508">
        <f t="shared" si="20"/>
        <v>5278.5</v>
      </c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</row>
    <row r="364" spans="1:228" s="9" customFormat="1" ht="26.25" customHeight="1">
      <c r="A364" s="421"/>
      <c r="B364" s="509" t="s">
        <v>707</v>
      </c>
      <c r="C364" s="750" t="s">
        <v>96</v>
      </c>
      <c r="D364" s="687" t="s">
        <v>1616</v>
      </c>
      <c r="E364" s="751" t="s">
        <v>648</v>
      </c>
      <c r="F364" s="720"/>
      <c r="G364" s="468"/>
      <c r="H364" s="512"/>
      <c r="I364" s="528" t="s">
        <v>150</v>
      </c>
      <c r="J364" s="707" t="s">
        <v>481</v>
      </c>
      <c r="K364" s="514"/>
      <c r="L364" s="892">
        <f>1.02*6710</f>
        <v>6844.2</v>
      </c>
      <c r="M364" s="508">
        <f t="shared" si="20"/>
        <v>8555.25</v>
      </c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</row>
    <row r="365" spans="1:228" s="9" customFormat="1" ht="39.75" customHeight="1">
      <c r="A365" s="421"/>
      <c r="B365" s="509" t="s">
        <v>1071</v>
      </c>
      <c r="C365" s="509" t="s">
        <v>96</v>
      </c>
      <c r="D365" s="687" t="s">
        <v>327</v>
      </c>
      <c r="E365" s="751" t="s">
        <v>720</v>
      </c>
      <c r="F365" s="512"/>
      <c r="G365" s="554" t="s">
        <v>215</v>
      </c>
      <c r="H365" s="731"/>
      <c r="I365" s="752" t="s">
        <v>150</v>
      </c>
      <c r="J365" s="707"/>
      <c r="K365" s="514"/>
      <c r="L365" s="892">
        <f>1.02*4140</f>
        <v>4222.8</v>
      </c>
      <c r="M365" s="508">
        <f t="shared" si="20"/>
        <v>5278.5</v>
      </c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</row>
    <row r="366" spans="1:228" s="9" customFormat="1" ht="52.5" customHeight="1">
      <c r="A366" s="421"/>
      <c r="B366" s="509" t="s">
        <v>1224</v>
      </c>
      <c r="C366" s="509" t="s">
        <v>92</v>
      </c>
      <c r="D366" s="465" t="s">
        <v>1617</v>
      </c>
      <c r="E366" s="466" t="s">
        <v>1310</v>
      </c>
      <c r="F366" s="717" t="s">
        <v>1213</v>
      </c>
      <c r="G366" s="554" t="s">
        <v>243</v>
      </c>
      <c r="H366" s="731"/>
      <c r="I366" s="752" t="s">
        <v>160</v>
      </c>
      <c r="J366" s="707"/>
      <c r="K366" s="514"/>
      <c r="L366" s="892">
        <f>1.02*8710</f>
        <v>8884.2000000000007</v>
      </c>
      <c r="M366" s="508">
        <f t="shared" si="20"/>
        <v>11105.25</v>
      </c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</row>
    <row r="367" spans="1:228" ht="43.5" customHeight="1">
      <c r="A367" s="421"/>
      <c r="B367" s="529" t="s">
        <v>1074</v>
      </c>
      <c r="C367" s="529" t="s">
        <v>96</v>
      </c>
      <c r="D367" s="753" t="s">
        <v>328</v>
      </c>
      <c r="E367" s="754" t="s">
        <v>304</v>
      </c>
      <c r="F367" s="467"/>
      <c r="G367" s="665" t="s">
        <v>172</v>
      </c>
      <c r="H367" s="690"/>
      <c r="I367" s="755" t="s">
        <v>149</v>
      </c>
      <c r="J367" s="481"/>
      <c r="K367" s="477"/>
      <c r="L367" s="892">
        <f>1.02*4860</f>
        <v>4957.2</v>
      </c>
      <c r="M367" s="508">
        <f t="shared" si="20"/>
        <v>6196.5</v>
      </c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9"/>
      <c r="HQ367" s="9"/>
      <c r="HR367" s="9"/>
      <c r="HS367" s="9"/>
      <c r="HT367" s="9"/>
    </row>
    <row r="368" spans="1:228" s="9" customFormat="1" ht="37.5" customHeight="1">
      <c r="A368" s="421"/>
      <c r="B368" s="596" t="s">
        <v>1073</v>
      </c>
      <c r="C368" s="596" t="s">
        <v>96</v>
      </c>
      <c r="D368" s="491" t="s">
        <v>1618</v>
      </c>
      <c r="E368" s="492" t="s">
        <v>662</v>
      </c>
      <c r="F368" s="700"/>
      <c r="G368" s="697" t="s">
        <v>217</v>
      </c>
      <c r="H368" s="495"/>
      <c r="I368" s="630" t="s">
        <v>155</v>
      </c>
      <c r="J368" s="756" t="s">
        <v>1421</v>
      </c>
      <c r="K368" s="497"/>
      <c r="L368" s="892">
        <v>5700</v>
      </c>
      <c r="M368" s="498">
        <f t="shared" si="20"/>
        <v>7125</v>
      </c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</row>
    <row r="369" spans="1:228" ht="19.5" customHeight="1">
      <c r="A369" s="421"/>
      <c r="B369" s="529" t="s">
        <v>1075</v>
      </c>
      <c r="C369" s="529" t="s">
        <v>96</v>
      </c>
      <c r="D369" s="625" t="s">
        <v>264</v>
      </c>
      <c r="E369" s="486" t="s">
        <v>721</v>
      </c>
      <c r="F369" s="467"/>
      <c r="G369" s="665" t="s">
        <v>225</v>
      </c>
      <c r="H369" s="474" t="s">
        <v>145</v>
      </c>
      <c r="I369" s="755" t="s">
        <v>237</v>
      </c>
      <c r="J369" s="481"/>
      <c r="K369" s="477"/>
      <c r="L369" s="892">
        <f>1.02*6070</f>
        <v>6191.4000000000005</v>
      </c>
      <c r="M369" s="508">
        <f t="shared" si="20"/>
        <v>7739.2500000000009</v>
      </c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</row>
    <row r="370" spans="1:228" ht="19.5" customHeight="1">
      <c r="A370" s="421"/>
      <c r="B370" s="509" t="s">
        <v>1072</v>
      </c>
      <c r="C370" s="750" t="s">
        <v>96</v>
      </c>
      <c r="D370" s="687" t="s">
        <v>1619</v>
      </c>
      <c r="E370" s="751" t="s">
        <v>648</v>
      </c>
      <c r="F370" s="716"/>
      <c r="G370" s="668" t="s">
        <v>578</v>
      </c>
      <c r="H370" s="474" t="s">
        <v>145</v>
      </c>
      <c r="I370" s="670" t="s">
        <v>150</v>
      </c>
      <c r="J370" s="707" t="s">
        <v>481</v>
      </c>
      <c r="K370" s="514"/>
      <c r="L370" s="892">
        <f>1.02*4140</f>
        <v>4222.8</v>
      </c>
      <c r="M370" s="508">
        <f t="shared" si="20"/>
        <v>5278.5</v>
      </c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</row>
    <row r="371" spans="1:228" ht="19.5" customHeight="1">
      <c r="A371" s="421"/>
      <c r="B371" s="529" t="s">
        <v>1076</v>
      </c>
      <c r="C371" s="529" t="s">
        <v>96</v>
      </c>
      <c r="D371" s="625" t="s">
        <v>433</v>
      </c>
      <c r="E371" s="486" t="s">
        <v>1182</v>
      </c>
      <c r="F371" s="467"/>
      <c r="G371" s="757">
        <v>138</v>
      </c>
      <c r="H371" s="758" t="s">
        <v>145</v>
      </c>
      <c r="I371" s="759" t="s">
        <v>237</v>
      </c>
      <c r="J371" s="507"/>
      <c r="K371" s="477"/>
      <c r="L371" s="892">
        <f>1.02*5720</f>
        <v>5834.4000000000005</v>
      </c>
      <c r="M371" s="508">
        <f t="shared" si="20"/>
        <v>7293.0000000000009</v>
      </c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</row>
    <row r="372" spans="1:228" s="4" customFormat="1" ht="27" customHeight="1">
      <c r="A372" s="421"/>
      <c r="B372" s="596" t="s">
        <v>1187</v>
      </c>
      <c r="C372" s="596" t="s">
        <v>96</v>
      </c>
      <c r="D372" s="491" t="s">
        <v>1620</v>
      </c>
      <c r="E372" s="492" t="s">
        <v>648</v>
      </c>
      <c r="F372" s="525"/>
      <c r="G372" s="760">
        <v>8814</v>
      </c>
      <c r="H372" s="761" t="s">
        <v>145</v>
      </c>
      <c r="I372" s="762" t="s">
        <v>150</v>
      </c>
      <c r="J372" s="601" t="s">
        <v>481</v>
      </c>
      <c r="K372" s="497"/>
      <c r="L372" s="892">
        <v>4400</v>
      </c>
      <c r="M372" s="498">
        <f t="shared" si="20"/>
        <v>5500</v>
      </c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2"/>
      <c r="HQ372" s="2"/>
      <c r="HR372" s="2"/>
      <c r="HS372" s="2"/>
      <c r="HT372" s="2"/>
    </row>
    <row r="373" spans="1:228" s="9" customFormat="1" ht="34.5" customHeight="1">
      <c r="A373" s="421"/>
      <c r="B373" s="596" t="s">
        <v>1073</v>
      </c>
      <c r="C373" s="596" t="s">
        <v>96</v>
      </c>
      <c r="D373" s="491" t="s">
        <v>1621</v>
      </c>
      <c r="E373" s="492" t="s">
        <v>1420</v>
      </c>
      <c r="F373" s="700"/>
      <c r="G373" s="697" t="s">
        <v>217</v>
      </c>
      <c r="H373" s="495"/>
      <c r="I373" s="630" t="s">
        <v>155</v>
      </c>
      <c r="J373" s="756"/>
      <c r="K373" s="497"/>
      <c r="L373" s="892">
        <v>5700</v>
      </c>
      <c r="M373" s="498">
        <f t="shared" si="20"/>
        <v>7125</v>
      </c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</row>
    <row r="374" spans="1:228" s="9" customFormat="1" ht="41.25" customHeight="1">
      <c r="A374" s="421"/>
      <c r="B374" s="489" t="s">
        <v>1066</v>
      </c>
      <c r="C374" s="490" t="s">
        <v>96</v>
      </c>
      <c r="D374" s="491" t="s">
        <v>1417</v>
      </c>
      <c r="E374" s="492" t="s">
        <v>1380</v>
      </c>
      <c r="F374" s="525"/>
      <c r="G374" s="494" t="s">
        <v>219</v>
      </c>
      <c r="H374" s="525"/>
      <c r="I374" s="496" t="s">
        <v>152</v>
      </c>
      <c r="J374" s="496"/>
      <c r="K374" s="497"/>
      <c r="L374" s="892">
        <v>5500</v>
      </c>
      <c r="M374" s="498">
        <f t="shared" si="20"/>
        <v>6875</v>
      </c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</row>
    <row r="375" spans="1:228" s="52" customFormat="1" ht="16.5" customHeight="1">
      <c r="A375" s="421"/>
      <c r="B375" s="499"/>
      <c r="C375" s="515"/>
      <c r="D375" s="500" t="s">
        <v>329</v>
      </c>
      <c r="E375" s="501"/>
      <c r="F375" s="502"/>
      <c r="G375" s="503"/>
      <c r="H375" s="502"/>
      <c r="I375" s="504"/>
      <c r="J375" s="505"/>
      <c r="K375" s="506"/>
      <c r="L375" s="892"/>
      <c r="M375" s="718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</row>
    <row r="376" spans="1:228" ht="35.25" customHeight="1">
      <c r="A376" s="421"/>
      <c r="B376" s="463" t="s">
        <v>894</v>
      </c>
      <c r="C376" s="464" t="s">
        <v>96</v>
      </c>
      <c r="D376" s="465" t="s">
        <v>1422</v>
      </c>
      <c r="E376" s="466" t="s">
        <v>119</v>
      </c>
      <c r="F376" s="467"/>
      <c r="G376" s="468" t="s">
        <v>181</v>
      </c>
      <c r="H376" s="474" t="s">
        <v>145</v>
      </c>
      <c r="I376" s="618" t="s">
        <v>151</v>
      </c>
      <c r="J376" s="618"/>
      <c r="K376" s="471"/>
      <c r="L376" s="892">
        <f>1.02*6420</f>
        <v>6548.4000000000005</v>
      </c>
      <c r="M376" s="508">
        <f>L376*1.25</f>
        <v>8185.5000000000009</v>
      </c>
      <c r="AJ376" s="2"/>
      <c r="AK376" s="2"/>
      <c r="AL376" s="2"/>
      <c r="AM376" s="2"/>
    </row>
    <row r="377" spans="1:228" s="52" customFormat="1" ht="23.25" customHeight="1">
      <c r="A377" s="421"/>
      <c r="B377" s="499"/>
      <c r="C377" s="515"/>
      <c r="D377" s="500" t="s">
        <v>330</v>
      </c>
      <c r="E377" s="501"/>
      <c r="F377" s="502"/>
      <c r="G377" s="503"/>
      <c r="H377" s="502"/>
      <c r="I377" s="504"/>
      <c r="J377" s="505"/>
      <c r="K377" s="506"/>
      <c r="L377" s="892"/>
      <c r="M377" s="718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</row>
    <row r="378" spans="1:228" ht="30" customHeight="1">
      <c r="A378" s="421"/>
      <c r="B378" s="463" t="s">
        <v>1077</v>
      </c>
      <c r="C378" s="464" t="s">
        <v>96</v>
      </c>
      <c r="D378" s="465" t="s">
        <v>128</v>
      </c>
      <c r="E378" s="466" t="s">
        <v>539</v>
      </c>
      <c r="F378" s="467"/>
      <c r="G378" s="468" t="s">
        <v>221</v>
      </c>
      <c r="H378" s="474" t="s">
        <v>145</v>
      </c>
      <c r="I378" s="470" t="s">
        <v>148</v>
      </c>
      <c r="J378" s="470"/>
      <c r="K378" s="471"/>
      <c r="L378" s="892">
        <f>1.02*5130</f>
        <v>5232.6000000000004</v>
      </c>
      <c r="M378" s="508">
        <f t="shared" ref="M378:M390" si="21">L378*1.25</f>
        <v>6540.75</v>
      </c>
      <c r="AJ378" s="2"/>
      <c r="AK378" s="2"/>
      <c r="AL378" s="2"/>
      <c r="AM378" s="2"/>
    </row>
    <row r="379" spans="1:228" ht="22.5" customHeight="1">
      <c r="A379" s="421"/>
      <c r="B379" s="463" t="s">
        <v>1078</v>
      </c>
      <c r="C379" s="464" t="s">
        <v>96</v>
      </c>
      <c r="D379" s="465" t="s">
        <v>331</v>
      </c>
      <c r="E379" s="466" t="s">
        <v>666</v>
      </c>
      <c r="F379" s="467"/>
      <c r="G379" s="468" t="s">
        <v>197</v>
      </c>
      <c r="H379" s="474" t="s">
        <v>145</v>
      </c>
      <c r="I379" s="470" t="s">
        <v>149</v>
      </c>
      <c r="J379" s="470"/>
      <c r="K379" s="471"/>
      <c r="L379" s="892">
        <f>1.02*4030</f>
        <v>4110.6000000000004</v>
      </c>
      <c r="M379" s="508">
        <f t="shared" si="21"/>
        <v>5138.25</v>
      </c>
      <c r="AJ379" s="2"/>
      <c r="AK379" s="2"/>
      <c r="AL379" s="2"/>
      <c r="AM379" s="2"/>
    </row>
    <row r="380" spans="1:228" ht="60.75">
      <c r="A380" s="421"/>
      <c r="B380" s="484" t="s">
        <v>1079</v>
      </c>
      <c r="C380" s="529" t="s">
        <v>96</v>
      </c>
      <c r="D380" s="625" t="s">
        <v>415</v>
      </c>
      <c r="E380" s="486" t="s">
        <v>579</v>
      </c>
      <c r="F380" s="603"/>
      <c r="G380" s="480" t="s">
        <v>220</v>
      </c>
      <c r="H380" s="474" t="s">
        <v>145</v>
      </c>
      <c r="I380" s="470" t="s">
        <v>148</v>
      </c>
      <c r="J380" s="471"/>
      <c r="K380" s="471"/>
      <c r="L380" s="892">
        <f>1.02*4730</f>
        <v>4824.6000000000004</v>
      </c>
      <c r="M380" s="508">
        <f t="shared" si="21"/>
        <v>6030.75</v>
      </c>
      <c r="AJ380" s="2"/>
      <c r="AK380" s="2"/>
      <c r="AL380" s="2"/>
      <c r="AM380" s="2"/>
    </row>
    <row r="381" spans="1:228" ht="61.5" customHeight="1">
      <c r="A381" s="421"/>
      <c r="B381" s="463" t="s">
        <v>1080</v>
      </c>
      <c r="C381" s="464" t="s">
        <v>96</v>
      </c>
      <c r="D381" s="465" t="s">
        <v>1622</v>
      </c>
      <c r="E381" s="466" t="s">
        <v>665</v>
      </c>
      <c r="F381" s="727"/>
      <c r="G381" s="468" t="s">
        <v>174</v>
      </c>
      <c r="H381" s="474" t="s">
        <v>145</v>
      </c>
      <c r="I381" s="470" t="s">
        <v>148</v>
      </c>
      <c r="J381" s="481" t="s">
        <v>481</v>
      </c>
      <c r="K381" s="471"/>
      <c r="L381" s="892">
        <f>1.02*5950</f>
        <v>6069</v>
      </c>
      <c r="M381" s="508">
        <f t="shared" si="21"/>
        <v>7586.25</v>
      </c>
      <c r="AJ381" s="2"/>
      <c r="AK381" s="2"/>
      <c r="AL381" s="2"/>
      <c r="AM381" s="2"/>
    </row>
    <row r="382" spans="1:228" s="6" customFormat="1" ht="40.5" customHeight="1">
      <c r="A382" s="421"/>
      <c r="B382" s="484" t="s">
        <v>1401</v>
      </c>
      <c r="C382" s="464" t="s">
        <v>547</v>
      </c>
      <c r="D382" s="485" t="s">
        <v>1623</v>
      </c>
      <c r="E382" s="486" t="s">
        <v>549</v>
      </c>
      <c r="F382" s="542" t="s">
        <v>1351</v>
      </c>
      <c r="G382" s="480" t="s">
        <v>1402</v>
      </c>
      <c r="H382" s="474" t="s">
        <v>145</v>
      </c>
      <c r="I382" s="475" t="s">
        <v>619</v>
      </c>
      <c r="J382" s="475" t="s">
        <v>481</v>
      </c>
      <c r="K382" s="482"/>
      <c r="L382" s="892">
        <f>1.02*19500</f>
        <v>19890</v>
      </c>
      <c r="M382" s="508">
        <f t="shared" si="21"/>
        <v>24862.5</v>
      </c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4"/>
      <c r="HQ382" s="4"/>
      <c r="HR382" s="4"/>
      <c r="HS382" s="4"/>
      <c r="HT382" s="4"/>
    </row>
    <row r="383" spans="1:228" s="6" customFormat="1" ht="45" customHeight="1">
      <c r="A383" s="421"/>
      <c r="B383" s="648" t="s">
        <v>1081</v>
      </c>
      <c r="C383" s="649" t="s">
        <v>96</v>
      </c>
      <c r="D383" s="650" t="s">
        <v>1624</v>
      </c>
      <c r="E383" s="651" t="s">
        <v>1243</v>
      </c>
      <c r="F383" s="763" t="s">
        <v>32</v>
      </c>
      <c r="G383" s="653" t="s">
        <v>174</v>
      </c>
      <c r="H383" s="728" t="s">
        <v>145</v>
      </c>
      <c r="I383" s="764" t="s">
        <v>241</v>
      </c>
      <c r="J383" s="764" t="s">
        <v>481</v>
      </c>
      <c r="K383" s="765"/>
      <c r="L383" s="892">
        <f>1.02*3990</f>
        <v>4069.8</v>
      </c>
      <c r="M383" s="508">
        <f t="shared" si="21"/>
        <v>5087.25</v>
      </c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</row>
    <row r="384" spans="1:228" s="6" customFormat="1" ht="27" customHeight="1">
      <c r="A384" s="421"/>
      <c r="B384" s="463" t="s">
        <v>1082</v>
      </c>
      <c r="C384" s="464" t="s">
        <v>96</v>
      </c>
      <c r="D384" s="465" t="s">
        <v>1625</v>
      </c>
      <c r="E384" s="466">
        <v>2014</v>
      </c>
      <c r="F384" s="483"/>
      <c r="G384" s="480"/>
      <c r="H384" s="474" t="s">
        <v>145</v>
      </c>
      <c r="I384" s="481" t="s">
        <v>151</v>
      </c>
      <c r="J384" s="481" t="s">
        <v>481</v>
      </c>
      <c r="K384" s="482"/>
      <c r="L384" s="892">
        <f>1.02*4520</f>
        <v>4610.3999999999996</v>
      </c>
      <c r="M384" s="508">
        <f t="shared" si="21"/>
        <v>5763</v>
      </c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</row>
    <row r="385" spans="1:228" s="4" customFormat="1" ht="24.75" customHeight="1">
      <c r="A385" s="421"/>
      <c r="B385" s="463" t="s">
        <v>703</v>
      </c>
      <c r="C385" s="464" t="s">
        <v>96</v>
      </c>
      <c r="D385" s="465" t="s">
        <v>1625</v>
      </c>
      <c r="E385" s="466" t="s">
        <v>648</v>
      </c>
      <c r="F385" s="520"/>
      <c r="G385" s="480"/>
      <c r="H385" s="474" t="s">
        <v>145</v>
      </c>
      <c r="I385" s="481" t="s">
        <v>151</v>
      </c>
      <c r="J385" s="481" t="s">
        <v>481</v>
      </c>
      <c r="K385" s="482"/>
      <c r="L385" s="892">
        <f>1.02*5390</f>
        <v>5497.8</v>
      </c>
      <c r="M385" s="508">
        <f t="shared" si="21"/>
        <v>6872.25</v>
      </c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6"/>
      <c r="HQ385" s="6"/>
      <c r="HR385" s="6"/>
      <c r="HS385" s="6"/>
      <c r="HT385" s="6"/>
    </row>
    <row r="386" spans="1:228" s="4" customFormat="1" ht="52.5" customHeight="1">
      <c r="A386" s="421"/>
      <c r="B386" s="463" t="s">
        <v>1083</v>
      </c>
      <c r="C386" s="464" t="s">
        <v>96</v>
      </c>
      <c r="D386" s="465" t="s">
        <v>17</v>
      </c>
      <c r="E386" s="466" t="s">
        <v>109</v>
      </c>
      <c r="F386" s="467"/>
      <c r="G386" s="468" t="s">
        <v>179</v>
      </c>
      <c r="H386" s="474" t="s">
        <v>145</v>
      </c>
      <c r="I386" s="471" t="s">
        <v>164</v>
      </c>
      <c r="J386" s="471"/>
      <c r="K386" s="471"/>
      <c r="L386" s="892">
        <f>1.02*5160</f>
        <v>5263.2</v>
      </c>
      <c r="M386" s="508">
        <f t="shared" si="21"/>
        <v>6579</v>
      </c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</row>
    <row r="387" spans="1:228" s="4" customFormat="1" ht="37.5" customHeight="1">
      <c r="A387" s="421"/>
      <c r="B387" s="463" t="s">
        <v>1084</v>
      </c>
      <c r="C387" s="464" t="s">
        <v>96</v>
      </c>
      <c r="D387" s="465" t="s">
        <v>1423</v>
      </c>
      <c r="E387" s="466" t="s">
        <v>1424</v>
      </c>
      <c r="F387" s="467"/>
      <c r="G387" s="468" t="s">
        <v>222</v>
      </c>
      <c r="H387" s="474" t="s">
        <v>145</v>
      </c>
      <c r="I387" s="471" t="s">
        <v>151</v>
      </c>
      <c r="J387" s="471"/>
      <c r="K387" s="471"/>
      <c r="L387" s="892">
        <f>1.02*6550</f>
        <v>6681</v>
      </c>
      <c r="M387" s="508">
        <f t="shared" si="21"/>
        <v>8351.25</v>
      </c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</row>
    <row r="388" spans="1:228" s="4" customFormat="1" ht="33.75" customHeight="1">
      <c r="A388" s="421"/>
      <c r="B388" s="648" t="s">
        <v>1085</v>
      </c>
      <c r="C388" s="649" t="s">
        <v>96</v>
      </c>
      <c r="D388" s="650" t="s">
        <v>1626</v>
      </c>
      <c r="E388" s="651" t="s">
        <v>1295</v>
      </c>
      <c r="F388" s="652" t="s">
        <v>32</v>
      </c>
      <c r="G388" s="653" t="s">
        <v>259</v>
      </c>
      <c r="H388" s="728" t="s">
        <v>145</v>
      </c>
      <c r="I388" s="765" t="s">
        <v>163</v>
      </c>
      <c r="J388" s="765" t="s">
        <v>481</v>
      </c>
      <c r="K388" s="765"/>
      <c r="L388" s="892">
        <f>1.02*4490</f>
        <v>4579.8</v>
      </c>
      <c r="M388" s="508">
        <f t="shared" si="21"/>
        <v>5724.75</v>
      </c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</row>
    <row r="389" spans="1:228" s="4" customFormat="1" ht="35.25" customHeight="1">
      <c r="A389" s="421"/>
      <c r="B389" s="463" t="s">
        <v>1306</v>
      </c>
      <c r="C389" s="464" t="s">
        <v>96</v>
      </c>
      <c r="D389" s="465" t="s">
        <v>1627</v>
      </c>
      <c r="E389" s="466" t="s">
        <v>1229</v>
      </c>
      <c r="F389" s="542" t="s">
        <v>1213</v>
      </c>
      <c r="G389" s="480" t="s">
        <v>1353</v>
      </c>
      <c r="H389" s="766" t="s">
        <v>145</v>
      </c>
      <c r="I389" s="481" t="s">
        <v>1307</v>
      </c>
      <c r="J389" s="481" t="s">
        <v>481</v>
      </c>
      <c r="K389" s="482"/>
      <c r="L389" s="892">
        <f>1.02*6046</f>
        <v>6166.92</v>
      </c>
      <c r="M389" s="508">
        <f t="shared" si="21"/>
        <v>7708.65</v>
      </c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</row>
    <row r="390" spans="1:228" s="4" customFormat="1" ht="22.5" customHeight="1">
      <c r="A390" s="421"/>
      <c r="B390" s="463" t="s">
        <v>1086</v>
      </c>
      <c r="C390" s="464" t="s">
        <v>96</v>
      </c>
      <c r="D390" s="465" t="s">
        <v>1628</v>
      </c>
      <c r="E390" s="466" t="s">
        <v>27</v>
      </c>
      <c r="F390" s="467"/>
      <c r="G390" s="468" t="s">
        <v>180</v>
      </c>
      <c r="H390" s="474" t="s">
        <v>145</v>
      </c>
      <c r="I390" s="471" t="s">
        <v>163</v>
      </c>
      <c r="J390" s="481" t="s">
        <v>481</v>
      </c>
      <c r="K390" s="471"/>
      <c r="L390" s="892">
        <f>1.02*5350</f>
        <v>5457</v>
      </c>
      <c r="M390" s="508">
        <f t="shared" si="21"/>
        <v>6821.25</v>
      </c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</row>
    <row r="391" spans="1:228" s="52" customFormat="1" ht="21" customHeight="1">
      <c r="A391" s="421"/>
      <c r="B391" s="499"/>
      <c r="C391" s="515"/>
      <c r="D391" s="500" t="s">
        <v>333</v>
      </c>
      <c r="E391" s="501"/>
      <c r="F391" s="502"/>
      <c r="G391" s="503"/>
      <c r="H391" s="502"/>
      <c r="I391" s="504"/>
      <c r="J391" s="505"/>
      <c r="K391" s="506"/>
      <c r="L391" s="892"/>
      <c r="M391" s="718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</row>
    <row r="392" spans="1:228" s="7" customFormat="1" ht="21" customHeight="1">
      <c r="A392" s="421"/>
      <c r="B392" s="509" t="s">
        <v>1087</v>
      </c>
      <c r="C392" s="509" t="s">
        <v>96</v>
      </c>
      <c r="D392" s="767" t="s">
        <v>334</v>
      </c>
      <c r="E392" s="751" t="s">
        <v>109</v>
      </c>
      <c r="F392" s="467"/>
      <c r="G392" s="468" t="s">
        <v>205</v>
      </c>
      <c r="H392" s="479" t="s">
        <v>145</v>
      </c>
      <c r="I392" s="528" t="s">
        <v>151</v>
      </c>
      <c r="J392" s="528"/>
      <c r="K392" s="471"/>
      <c r="L392" s="892">
        <f>1.02*6820</f>
        <v>6956.4000000000005</v>
      </c>
      <c r="M392" s="508">
        <f t="shared" ref="M392:M398" si="22">L392*1.25</f>
        <v>8695.5</v>
      </c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</row>
    <row r="393" spans="1:228" s="7" customFormat="1" ht="17.25" customHeight="1">
      <c r="A393" s="421"/>
      <c r="B393" s="509" t="s">
        <v>1088</v>
      </c>
      <c r="C393" s="509" t="s">
        <v>96</v>
      </c>
      <c r="D393" s="767" t="s">
        <v>438</v>
      </c>
      <c r="E393" s="751" t="s">
        <v>368</v>
      </c>
      <c r="F393" s="467"/>
      <c r="G393" s="480" t="s">
        <v>184</v>
      </c>
      <c r="H393" s="464" t="s">
        <v>441</v>
      </c>
      <c r="I393" s="481" t="s">
        <v>151</v>
      </c>
      <c r="J393" s="507"/>
      <c r="K393" s="477"/>
      <c r="L393" s="892">
        <f>1.02*6760</f>
        <v>6895.2</v>
      </c>
      <c r="M393" s="508">
        <f t="shared" si="22"/>
        <v>8619</v>
      </c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</row>
    <row r="394" spans="1:228" s="7" customFormat="1" ht="17.25" customHeight="1">
      <c r="A394" s="421"/>
      <c r="B394" s="509" t="s">
        <v>1089</v>
      </c>
      <c r="C394" s="509" t="s">
        <v>92</v>
      </c>
      <c r="D394" s="767" t="s">
        <v>337</v>
      </c>
      <c r="E394" s="751" t="s">
        <v>501</v>
      </c>
      <c r="F394" s="467"/>
      <c r="G394" s="480" t="s">
        <v>243</v>
      </c>
      <c r="H394" s="469"/>
      <c r="I394" s="481" t="s">
        <v>247</v>
      </c>
      <c r="J394" s="481"/>
      <c r="K394" s="477"/>
      <c r="L394" s="892">
        <f>1.02*7190</f>
        <v>7333.8</v>
      </c>
      <c r="M394" s="508">
        <f t="shared" si="22"/>
        <v>9167.25</v>
      </c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</row>
    <row r="395" spans="1:228" s="7" customFormat="1" ht="19.5" customHeight="1">
      <c r="A395" s="421"/>
      <c r="B395" s="509" t="s">
        <v>1090</v>
      </c>
      <c r="C395" s="509" t="s">
        <v>96</v>
      </c>
      <c r="D395" s="767" t="s">
        <v>335</v>
      </c>
      <c r="E395" s="751" t="s">
        <v>336</v>
      </c>
      <c r="F395" s="467"/>
      <c r="G395" s="480" t="s">
        <v>183</v>
      </c>
      <c r="H395" s="467"/>
      <c r="I395" s="481" t="s">
        <v>151</v>
      </c>
      <c r="J395" s="481"/>
      <c r="K395" s="477"/>
      <c r="L395" s="892">
        <f>1.02*7210</f>
        <v>7354.2</v>
      </c>
      <c r="M395" s="508">
        <f t="shared" si="22"/>
        <v>9192.75</v>
      </c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</row>
    <row r="396" spans="1:228" s="7" customFormat="1" ht="17.25" customHeight="1">
      <c r="A396" s="421"/>
      <c r="B396" s="509" t="s">
        <v>1091</v>
      </c>
      <c r="C396" s="509" t="s">
        <v>96</v>
      </c>
      <c r="D396" s="767" t="s">
        <v>780</v>
      </c>
      <c r="E396" s="751" t="s">
        <v>137</v>
      </c>
      <c r="F396" s="603"/>
      <c r="G396" s="468" t="s">
        <v>223</v>
      </c>
      <c r="H396" s="603"/>
      <c r="I396" s="528" t="s">
        <v>165</v>
      </c>
      <c r="J396" s="528"/>
      <c r="K396" s="477"/>
      <c r="L396" s="892">
        <f>1.02*7210</f>
        <v>7354.2</v>
      </c>
      <c r="M396" s="508">
        <f t="shared" si="22"/>
        <v>9192.75</v>
      </c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</row>
    <row r="397" spans="1:228" s="7" customFormat="1" ht="17.25" customHeight="1">
      <c r="A397" s="421"/>
      <c r="B397" s="509" t="s">
        <v>1092</v>
      </c>
      <c r="C397" s="509" t="s">
        <v>96</v>
      </c>
      <c r="D397" s="767" t="s">
        <v>781</v>
      </c>
      <c r="E397" s="751" t="s">
        <v>136</v>
      </c>
      <c r="F397" s="467"/>
      <c r="G397" s="480" t="s">
        <v>246</v>
      </c>
      <c r="H397" s="479" t="s">
        <v>145</v>
      </c>
      <c r="I397" s="481" t="s">
        <v>151</v>
      </c>
      <c r="J397" s="481"/>
      <c r="K397" s="477"/>
      <c r="L397" s="892">
        <f>1.02*7210</f>
        <v>7354.2</v>
      </c>
      <c r="M397" s="508">
        <f t="shared" si="22"/>
        <v>9192.75</v>
      </c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</row>
    <row r="398" spans="1:228" s="7" customFormat="1" ht="21" customHeight="1">
      <c r="A398" s="421"/>
      <c r="B398" s="509" t="s">
        <v>1093</v>
      </c>
      <c r="C398" s="509" t="s">
        <v>96</v>
      </c>
      <c r="D398" s="767" t="s">
        <v>1629</v>
      </c>
      <c r="E398" s="751" t="s">
        <v>549</v>
      </c>
      <c r="F398" s="483"/>
      <c r="G398" s="480" t="s">
        <v>593</v>
      </c>
      <c r="H398" s="526"/>
      <c r="I398" s="481" t="s">
        <v>151</v>
      </c>
      <c r="J398" s="507" t="s">
        <v>481</v>
      </c>
      <c r="K398" s="477"/>
      <c r="L398" s="892">
        <f>1.02*6790</f>
        <v>6925.8</v>
      </c>
      <c r="M398" s="508">
        <f t="shared" si="22"/>
        <v>8657.25</v>
      </c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</row>
    <row r="399" spans="1:228" s="8" customFormat="1" ht="18.75" customHeight="1">
      <c r="A399" s="421"/>
      <c r="B399" s="536"/>
      <c r="C399" s="537"/>
      <c r="D399" s="538" t="s">
        <v>338</v>
      </c>
      <c r="E399" s="539"/>
      <c r="F399" s="607"/>
      <c r="G399" s="641"/>
      <c r="H399" s="607"/>
      <c r="I399" s="504"/>
      <c r="J399" s="504"/>
      <c r="K399" s="519"/>
      <c r="L399" s="892"/>
      <c r="M399" s="718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</row>
    <row r="400" spans="1:228" s="8" customFormat="1" ht="27" customHeight="1">
      <c r="A400" s="421"/>
      <c r="B400" s="463" t="s">
        <v>1094</v>
      </c>
      <c r="C400" s="464" t="s">
        <v>96</v>
      </c>
      <c r="D400" s="465" t="s">
        <v>339</v>
      </c>
      <c r="E400" s="466" t="s">
        <v>138</v>
      </c>
      <c r="F400" s="467"/>
      <c r="G400" s="468" t="s">
        <v>224</v>
      </c>
      <c r="H400" s="474"/>
      <c r="I400" s="618" t="s">
        <v>151</v>
      </c>
      <c r="J400" s="528"/>
      <c r="K400" s="471"/>
      <c r="L400" s="892">
        <f>1.02*7160</f>
        <v>7303.2</v>
      </c>
      <c r="M400" s="508">
        <f t="shared" ref="M400:M407" si="23">L400*1.25</f>
        <v>9129</v>
      </c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</row>
    <row r="401" spans="1:227" s="8" customFormat="1" ht="27" customHeight="1">
      <c r="A401" s="421"/>
      <c r="B401" s="463" t="s">
        <v>1095</v>
      </c>
      <c r="C401" s="464" t="s">
        <v>96</v>
      </c>
      <c r="D401" s="465" t="s">
        <v>339</v>
      </c>
      <c r="E401" s="466" t="s">
        <v>558</v>
      </c>
      <c r="F401" s="467"/>
      <c r="G401" s="468" t="s">
        <v>218</v>
      </c>
      <c r="H401" s="469"/>
      <c r="I401" s="475" t="s">
        <v>163</v>
      </c>
      <c r="J401" s="475"/>
      <c r="K401" s="477"/>
      <c r="L401" s="892">
        <f>1.02*7310</f>
        <v>7456.2</v>
      </c>
      <c r="M401" s="508">
        <f t="shared" si="23"/>
        <v>9320.25</v>
      </c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</row>
    <row r="402" spans="1:227" s="8" customFormat="1" ht="27" customHeight="1">
      <c r="A402" s="421"/>
      <c r="B402" s="463" t="s">
        <v>1096</v>
      </c>
      <c r="C402" s="464" t="s">
        <v>96</v>
      </c>
      <c r="D402" s="465" t="s">
        <v>1630</v>
      </c>
      <c r="E402" s="466" t="s">
        <v>549</v>
      </c>
      <c r="F402" s="483"/>
      <c r="G402" s="468" t="s">
        <v>576</v>
      </c>
      <c r="H402" s="474" t="s">
        <v>145</v>
      </c>
      <c r="I402" s="475" t="s">
        <v>163</v>
      </c>
      <c r="J402" s="470" t="s">
        <v>481</v>
      </c>
      <c r="K402" s="477"/>
      <c r="L402" s="892">
        <f>1.02*8490</f>
        <v>8659.7999999999993</v>
      </c>
      <c r="M402" s="508">
        <f t="shared" si="23"/>
        <v>10824.75</v>
      </c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</row>
    <row r="403" spans="1:227" s="8" customFormat="1" ht="27" customHeight="1">
      <c r="A403" s="421"/>
      <c r="B403" s="463" t="s">
        <v>1097</v>
      </c>
      <c r="C403" s="464" t="s">
        <v>96</v>
      </c>
      <c r="D403" s="465" t="s">
        <v>340</v>
      </c>
      <c r="E403" s="466" t="s">
        <v>66</v>
      </c>
      <c r="F403" s="467"/>
      <c r="G403" s="480" t="s">
        <v>199</v>
      </c>
      <c r="H403" s="474"/>
      <c r="I403" s="528" t="s">
        <v>151</v>
      </c>
      <c r="J403" s="528"/>
      <c r="K403" s="471"/>
      <c r="L403" s="892">
        <f>1.02*7300</f>
        <v>7446</v>
      </c>
      <c r="M403" s="508">
        <f t="shared" si="23"/>
        <v>9307.5</v>
      </c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</row>
    <row r="404" spans="1:227" s="8" customFormat="1" ht="22.5" customHeight="1">
      <c r="A404" s="421"/>
      <c r="B404" s="463" t="s">
        <v>1098</v>
      </c>
      <c r="C404" s="464" t="s">
        <v>96</v>
      </c>
      <c r="D404" s="465" t="s">
        <v>340</v>
      </c>
      <c r="E404" s="466" t="s">
        <v>1290</v>
      </c>
      <c r="F404" s="467"/>
      <c r="G404" s="468" t="s">
        <v>189</v>
      </c>
      <c r="H404" s="474" t="s">
        <v>145</v>
      </c>
      <c r="I404" s="481" t="s">
        <v>151</v>
      </c>
      <c r="J404" s="471"/>
      <c r="K404" s="477"/>
      <c r="L404" s="892">
        <f>1.02*6540</f>
        <v>6670.8</v>
      </c>
      <c r="M404" s="508">
        <f t="shared" si="23"/>
        <v>8338.5</v>
      </c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</row>
    <row r="405" spans="1:227" s="8" customFormat="1" ht="27" customHeight="1">
      <c r="A405" s="421"/>
      <c r="B405" s="463" t="s">
        <v>1304</v>
      </c>
      <c r="C405" s="464" t="s">
        <v>96</v>
      </c>
      <c r="D405" s="465" t="s">
        <v>1631</v>
      </c>
      <c r="E405" s="466" t="s">
        <v>1229</v>
      </c>
      <c r="F405" s="542" t="s">
        <v>1213</v>
      </c>
      <c r="G405" s="468" t="s">
        <v>1305</v>
      </c>
      <c r="H405" s="479" t="s">
        <v>145</v>
      </c>
      <c r="I405" s="481" t="s">
        <v>621</v>
      </c>
      <c r="J405" s="471" t="s">
        <v>481</v>
      </c>
      <c r="K405" s="477"/>
      <c r="L405" s="892">
        <f>1.02*6000</f>
        <v>6120</v>
      </c>
      <c r="M405" s="508">
        <f t="shared" si="23"/>
        <v>7650</v>
      </c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</row>
    <row r="406" spans="1:227" s="8" customFormat="1" ht="27" customHeight="1">
      <c r="A406" s="421"/>
      <c r="B406" s="463" t="s">
        <v>1099</v>
      </c>
      <c r="C406" s="464" t="s">
        <v>96</v>
      </c>
      <c r="D406" s="465" t="s">
        <v>265</v>
      </c>
      <c r="E406" s="466" t="s">
        <v>140</v>
      </c>
      <c r="F406" s="467"/>
      <c r="G406" s="468" t="s">
        <v>181</v>
      </c>
      <c r="H406" s="469"/>
      <c r="I406" s="481" t="s">
        <v>151</v>
      </c>
      <c r="J406" s="471"/>
      <c r="K406" s="477"/>
      <c r="L406" s="892">
        <f>1.02*6420</f>
        <v>6548.4000000000005</v>
      </c>
      <c r="M406" s="508">
        <f t="shared" si="23"/>
        <v>8185.5000000000009</v>
      </c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15"/>
      <c r="HQ406" s="15"/>
      <c r="HR406" s="15"/>
      <c r="HS406" s="15"/>
    </row>
    <row r="407" spans="1:227" s="8" customFormat="1" ht="33" customHeight="1">
      <c r="A407" s="421"/>
      <c r="B407" s="463" t="s">
        <v>1100</v>
      </c>
      <c r="C407" s="464" t="s">
        <v>96</v>
      </c>
      <c r="D407" s="465" t="s">
        <v>1632</v>
      </c>
      <c r="E407" s="466" t="s">
        <v>1425</v>
      </c>
      <c r="F407" s="483"/>
      <c r="G407" s="468" t="s">
        <v>578</v>
      </c>
      <c r="H407" s="474" t="s">
        <v>145</v>
      </c>
      <c r="I407" s="481" t="s">
        <v>163</v>
      </c>
      <c r="J407" s="471" t="s">
        <v>481</v>
      </c>
      <c r="K407" s="477"/>
      <c r="L407" s="892">
        <f>1.02*7050</f>
        <v>7191</v>
      </c>
      <c r="M407" s="508">
        <f t="shared" si="23"/>
        <v>8988.75</v>
      </c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</row>
    <row r="408" spans="1:227" s="52" customFormat="1" ht="23.25" customHeight="1">
      <c r="A408" s="421"/>
      <c r="B408" s="499"/>
      <c r="C408" s="515"/>
      <c r="D408" s="500" t="s">
        <v>341</v>
      </c>
      <c r="E408" s="501"/>
      <c r="F408" s="502"/>
      <c r="G408" s="503"/>
      <c r="H408" s="502"/>
      <c r="I408" s="504"/>
      <c r="J408" s="505"/>
      <c r="K408" s="506"/>
      <c r="L408" s="892"/>
      <c r="M408" s="718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</row>
    <row r="409" spans="1:227" ht="23.25" customHeight="1">
      <c r="A409" s="421"/>
      <c r="B409" s="463" t="s">
        <v>1101</v>
      </c>
      <c r="C409" s="464" t="s">
        <v>92</v>
      </c>
      <c r="D409" s="465" t="s">
        <v>310</v>
      </c>
      <c r="E409" s="466" t="s">
        <v>806</v>
      </c>
      <c r="F409" s="467"/>
      <c r="G409" s="480" t="s">
        <v>243</v>
      </c>
      <c r="H409" s="467"/>
      <c r="I409" s="475" t="s">
        <v>151</v>
      </c>
      <c r="J409" s="481"/>
      <c r="K409" s="477"/>
      <c r="L409" s="892">
        <f>1.02*7060</f>
        <v>7201.2</v>
      </c>
      <c r="M409" s="508">
        <f t="shared" ref="M409:M417" si="24">L409*1.25</f>
        <v>9001.5</v>
      </c>
      <c r="AJ409" s="2"/>
      <c r="AK409" s="2"/>
      <c r="AL409" s="2"/>
      <c r="AM409" s="2"/>
    </row>
    <row r="410" spans="1:227" s="10" customFormat="1" ht="27" customHeight="1">
      <c r="A410" s="421"/>
      <c r="B410" s="463" t="s">
        <v>1102</v>
      </c>
      <c r="C410" s="464" t="s">
        <v>96</v>
      </c>
      <c r="D410" s="465" t="s">
        <v>310</v>
      </c>
      <c r="E410" s="466" t="s">
        <v>110</v>
      </c>
      <c r="F410" s="467"/>
      <c r="G410" s="468" t="s">
        <v>226</v>
      </c>
      <c r="H410" s="467"/>
      <c r="I410" s="528" t="s">
        <v>151</v>
      </c>
      <c r="J410" s="528"/>
      <c r="K410" s="477"/>
      <c r="L410" s="892">
        <f>1.02*6610</f>
        <v>6742.2</v>
      </c>
      <c r="M410" s="508">
        <f t="shared" si="24"/>
        <v>8427.75</v>
      </c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</row>
    <row r="411" spans="1:227" s="4" customFormat="1" ht="27" customHeight="1">
      <c r="A411" s="421"/>
      <c r="B411" s="463" t="s">
        <v>1103</v>
      </c>
      <c r="C411" s="464" t="s">
        <v>96</v>
      </c>
      <c r="D411" s="465" t="s">
        <v>310</v>
      </c>
      <c r="E411" s="466" t="s">
        <v>110</v>
      </c>
      <c r="F411" s="467"/>
      <c r="G411" s="468" t="s">
        <v>226</v>
      </c>
      <c r="H411" s="467"/>
      <c r="I411" s="528" t="s">
        <v>151</v>
      </c>
      <c r="J411" s="528"/>
      <c r="K411" s="590" t="s">
        <v>548</v>
      </c>
      <c r="L411" s="892">
        <f>1.02*13080</f>
        <v>13341.6</v>
      </c>
      <c r="M411" s="508">
        <f t="shared" si="24"/>
        <v>16677</v>
      </c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</row>
    <row r="412" spans="1:227" s="4" customFormat="1" ht="27" customHeight="1">
      <c r="A412" s="421"/>
      <c r="B412" s="463" t="s">
        <v>1104</v>
      </c>
      <c r="C412" s="464" t="s">
        <v>96</v>
      </c>
      <c r="D412" s="465" t="s">
        <v>342</v>
      </c>
      <c r="E412" s="466" t="s">
        <v>120</v>
      </c>
      <c r="F412" s="467"/>
      <c r="G412" s="468" t="s">
        <v>176</v>
      </c>
      <c r="H412" s="469"/>
      <c r="I412" s="618" t="s">
        <v>151</v>
      </c>
      <c r="J412" s="618"/>
      <c r="K412" s="477"/>
      <c r="L412" s="892">
        <f>1.02*5840</f>
        <v>5956.8</v>
      </c>
      <c r="M412" s="508">
        <f t="shared" si="24"/>
        <v>7446</v>
      </c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</row>
    <row r="413" spans="1:227" s="4" customFormat="1" ht="47.25" customHeight="1">
      <c r="A413" s="421"/>
      <c r="B413" s="463" t="s">
        <v>1105</v>
      </c>
      <c r="C413" s="464" t="s">
        <v>96</v>
      </c>
      <c r="D413" s="465" t="s">
        <v>1633</v>
      </c>
      <c r="E413" s="466" t="s">
        <v>125</v>
      </c>
      <c r="F413" s="467"/>
      <c r="G413" s="468" t="s">
        <v>251</v>
      </c>
      <c r="H413" s="474"/>
      <c r="I413" s="618" t="s">
        <v>155</v>
      </c>
      <c r="J413" s="768" t="s">
        <v>509</v>
      </c>
      <c r="K413" s="471"/>
      <c r="L413" s="892">
        <f>1.02*6250</f>
        <v>6375</v>
      </c>
      <c r="M413" s="508">
        <f t="shared" si="24"/>
        <v>7968.75</v>
      </c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</row>
    <row r="414" spans="1:227" s="4" customFormat="1" ht="30" customHeight="1">
      <c r="A414" s="421"/>
      <c r="B414" s="463" t="s">
        <v>882</v>
      </c>
      <c r="C414" s="464" t="s">
        <v>96</v>
      </c>
      <c r="D414" s="465" t="s">
        <v>1427</v>
      </c>
      <c r="E414" s="466" t="s">
        <v>1428</v>
      </c>
      <c r="F414" s="467"/>
      <c r="G414" s="468" t="s">
        <v>227</v>
      </c>
      <c r="H414" s="474" t="s">
        <v>145</v>
      </c>
      <c r="I414" s="618" t="s">
        <v>148</v>
      </c>
      <c r="J414" s="528"/>
      <c r="K414" s="471"/>
      <c r="L414" s="892">
        <f>1.02*6630</f>
        <v>6762.6</v>
      </c>
      <c r="M414" s="508">
        <f t="shared" si="24"/>
        <v>8453.25</v>
      </c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</row>
    <row r="415" spans="1:227" s="4" customFormat="1" ht="56.25" customHeight="1">
      <c r="A415" s="421"/>
      <c r="B415" s="463" t="s">
        <v>1106</v>
      </c>
      <c r="C415" s="464" t="s">
        <v>96</v>
      </c>
      <c r="D415" s="465" t="s">
        <v>1634</v>
      </c>
      <c r="E415" s="466" t="s">
        <v>1426</v>
      </c>
      <c r="F415" s="483"/>
      <c r="G415" s="468" t="s">
        <v>667</v>
      </c>
      <c r="H415" s="474" t="s">
        <v>145</v>
      </c>
      <c r="I415" s="618" t="s">
        <v>151</v>
      </c>
      <c r="J415" s="528" t="s">
        <v>481</v>
      </c>
      <c r="K415" s="471"/>
      <c r="L415" s="892">
        <f>1.02*6630</f>
        <v>6762.6</v>
      </c>
      <c r="M415" s="508">
        <f t="shared" si="24"/>
        <v>8453.25</v>
      </c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</row>
    <row r="416" spans="1:227" s="4" customFormat="1" ht="42" customHeight="1">
      <c r="A416" s="421"/>
      <c r="B416" s="463" t="s">
        <v>711</v>
      </c>
      <c r="C416" s="464" t="s">
        <v>144</v>
      </c>
      <c r="D416" s="465" t="s">
        <v>1635</v>
      </c>
      <c r="E416" s="466" t="s">
        <v>648</v>
      </c>
      <c r="F416" s="520"/>
      <c r="G416" s="468"/>
      <c r="H416" s="474" t="s">
        <v>145</v>
      </c>
      <c r="I416" s="618" t="s">
        <v>151</v>
      </c>
      <c r="J416" s="528" t="s">
        <v>481</v>
      </c>
      <c r="K416" s="471"/>
      <c r="L416" s="892">
        <f>1.02*9950</f>
        <v>10149</v>
      </c>
      <c r="M416" s="508">
        <f t="shared" si="24"/>
        <v>12686.25</v>
      </c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</row>
    <row r="417" spans="1:223" s="4" customFormat="1" ht="39.75" customHeight="1">
      <c r="A417" s="421"/>
      <c r="B417" s="463" t="s">
        <v>1106</v>
      </c>
      <c r="C417" s="464" t="s">
        <v>96</v>
      </c>
      <c r="D417" s="639" t="s">
        <v>1636</v>
      </c>
      <c r="E417" s="466" t="s">
        <v>1229</v>
      </c>
      <c r="F417" s="483"/>
      <c r="G417" s="468" t="s">
        <v>667</v>
      </c>
      <c r="H417" s="474" t="s">
        <v>145</v>
      </c>
      <c r="I417" s="618" t="s">
        <v>151</v>
      </c>
      <c r="J417" s="528" t="s">
        <v>481</v>
      </c>
      <c r="K417" s="471"/>
      <c r="L417" s="892">
        <f>1.02*6630</f>
        <v>6762.6</v>
      </c>
      <c r="M417" s="508">
        <f t="shared" si="24"/>
        <v>8453.25</v>
      </c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</row>
    <row r="418" spans="1:223" s="52" customFormat="1" ht="23.25" customHeight="1">
      <c r="A418" s="421"/>
      <c r="B418" s="499"/>
      <c r="C418" s="515"/>
      <c r="D418" s="500" t="s">
        <v>343</v>
      </c>
      <c r="E418" s="501"/>
      <c r="F418" s="502"/>
      <c r="G418" s="503"/>
      <c r="H418" s="502"/>
      <c r="I418" s="504"/>
      <c r="J418" s="505"/>
      <c r="K418" s="506"/>
      <c r="L418" s="892"/>
      <c r="M418" s="508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</row>
    <row r="419" spans="1:223" s="52" customFormat="1" ht="23.25" customHeight="1">
      <c r="A419" s="421"/>
      <c r="B419" s="463" t="s">
        <v>1107</v>
      </c>
      <c r="C419" s="464" t="s">
        <v>96</v>
      </c>
      <c r="D419" s="465" t="s">
        <v>380</v>
      </c>
      <c r="E419" s="466" t="s">
        <v>117</v>
      </c>
      <c r="F419" s="467"/>
      <c r="G419" s="683" t="s">
        <v>199</v>
      </c>
      <c r="H419" s="479"/>
      <c r="I419" s="481" t="s">
        <v>163</v>
      </c>
      <c r="J419" s="481"/>
      <c r="K419" s="477"/>
      <c r="L419" s="892">
        <f>1.02*5240</f>
        <v>5344.8</v>
      </c>
      <c r="M419" s="508">
        <f>L419*1.25</f>
        <v>6681</v>
      </c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</row>
    <row r="420" spans="1:223" s="52" customFormat="1" ht="18" customHeight="1">
      <c r="A420" s="421"/>
      <c r="B420" s="769" t="s">
        <v>630</v>
      </c>
      <c r="C420" s="546" t="s">
        <v>96</v>
      </c>
      <c r="D420" s="770" t="s">
        <v>1637</v>
      </c>
      <c r="E420" s="548" t="s">
        <v>486</v>
      </c>
      <c r="F420" s="520"/>
      <c r="G420" s="513"/>
      <c r="H420" s="479"/>
      <c r="I420" s="481" t="s">
        <v>631</v>
      </c>
      <c r="J420" s="507" t="s">
        <v>481</v>
      </c>
      <c r="K420" s="590"/>
      <c r="L420" s="892">
        <f>1.02*6170</f>
        <v>6293.4000000000005</v>
      </c>
      <c r="M420" s="508">
        <f>L420*1.25</f>
        <v>7866.7500000000009</v>
      </c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</row>
    <row r="421" spans="1:223" ht="18" customHeight="1">
      <c r="A421" s="421"/>
      <c r="B421" s="463" t="s">
        <v>1108</v>
      </c>
      <c r="C421" s="464" t="s">
        <v>96</v>
      </c>
      <c r="D421" s="465" t="s">
        <v>257</v>
      </c>
      <c r="E421" s="466" t="s">
        <v>27</v>
      </c>
      <c r="F421" s="467"/>
      <c r="G421" s="513" t="s">
        <v>226</v>
      </c>
      <c r="H421" s="479"/>
      <c r="I421" s="481" t="s">
        <v>163</v>
      </c>
      <c r="J421" s="481"/>
      <c r="K421" s="590"/>
      <c r="L421" s="892">
        <f>1.02*5770</f>
        <v>5885.4000000000005</v>
      </c>
      <c r="M421" s="508">
        <f>L421*1.25</f>
        <v>7356.7500000000009</v>
      </c>
      <c r="AJ421" s="2"/>
      <c r="AK421" s="2"/>
      <c r="AL421" s="2"/>
      <c r="AM421" s="2"/>
    </row>
    <row r="422" spans="1:223" ht="18.75" customHeight="1">
      <c r="A422" s="421"/>
      <c r="B422" s="545" t="s">
        <v>1109</v>
      </c>
      <c r="C422" s="546" t="s">
        <v>96</v>
      </c>
      <c r="D422" s="770" t="s">
        <v>257</v>
      </c>
      <c r="E422" s="548" t="s">
        <v>43</v>
      </c>
      <c r="F422" s="467"/>
      <c r="G422" s="513" t="s">
        <v>460</v>
      </c>
      <c r="H422" s="479"/>
      <c r="I422" s="481" t="s">
        <v>163</v>
      </c>
      <c r="J422" s="507"/>
      <c r="K422" s="477"/>
      <c r="L422" s="892">
        <f>1.02*5100</f>
        <v>5202</v>
      </c>
      <c r="M422" s="508">
        <f>L422*1.25</f>
        <v>6502.5</v>
      </c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</row>
    <row r="423" spans="1:223" ht="20.25" customHeight="1">
      <c r="A423" s="421"/>
      <c r="B423" s="769" t="s">
        <v>611</v>
      </c>
      <c r="C423" s="546" t="s">
        <v>96</v>
      </c>
      <c r="D423" s="770" t="s">
        <v>1638</v>
      </c>
      <c r="E423" s="548" t="s">
        <v>27</v>
      </c>
      <c r="F423" s="520"/>
      <c r="G423" s="513"/>
      <c r="H423" s="479"/>
      <c r="I423" s="481" t="s">
        <v>621</v>
      </c>
      <c r="J423" s="507" t="s">
        <v>481</v>
      </c>
      <c r="K423" s="590"/>
      <c r="L423" s="892">
        <f>1.02*7200</f>
        <v>7344</v>
      </c>
      <c r="M423" s="508">
        <f>L423*1.25</f>
        <v>9180</v>
      </c>
      <c r="AJ423" s="2"/>
      <c r="AK423" s="2"/>
      <c r="AL423" s="2"/>
      <c r="AM423" s="2"/>
    </row>
    <row r="424" spans="1:223" ht="35.25" customHeight="1">
      <c r="A424" s="421"/>
      <c r="B424" s="648" t="s">
        <v>1110</v>
      </c>
      <c r="C424" s="649" t="s">
        <v>96</v>
      </c>
      <c r="D424" s="650" t="s">
        <v>369</v>
      </c>
      <c r="E424" s="651" t="s">
        <v>27</v>
      </c>
      <c r="F424" s="652" t="s">
        <v>32</v>
      </c>
      <c r="G424" s="771" t="s">
        <v>175</v>
      </c>
      <c r="H424" s="728"/>
      <c r="I424" s="655" t="s">
        <v>163</v>
      </c>
      <c r="J424" s="655"/>
      <c r="K424" s="772"/>
      <c r="L424" s="898">
        <f>1.02*2099</f>
        <v>2140.98</v>
      </c>
      <c r="M424" s="508">
        <v>2500</v>
      </c>
      <c r="AJ424" s="2"/>
      <c r="AK424" s="2"/>
      <c r="AL424" s="2"/>
      <c r="AM424" s="2"/>
    </row>
    <row r="425" spans="1:223" ht="27" customHeight="1">
      <c r="A425" s="421"/>
      <c r="B425" s="463" t="s">
        <v>1111</v>
      </c>
      <c r="C425" s="464" t="s">
        <v>96</v>
      </c>
      <c r="D425" s="465" t="s">
        <v>369</v>
      </c>
      <c r="E425" s="466" t="s">
        <v>43</v>
      </c>
      <c r="F425" s="467"/>
      <c r="G425" s="513" t="s">
        <v>217</v>
      </c>
      <c r="H425" s="474"/>
      <c r="I425" s="475" t="s">
        <v>163</v>
      </c>
      <c r="J425" s="475"/>
      <c r="K425" s="590"/>
      <c r="L425" s="892">
        <f>1.02*5310</f>
        <v>5416.2</v>
      </c>
      <c r="M425" s="508">
        <f t="shared" ref="M425:M472" si="25">L425*1.25</f>
        <v>6770.25</v>
      </c>
      <c r="AJ425" s="2"/>
      <c r="AK425" s="2"/>
      <c r="AL425" s="2"/>
      <c r="AM425" s="2"/>
    </row>
    <row r="426" spans="1:223" ht="22.5" customHeight="1">
      <c r="A426" s="421"/>
      <c r="B426" s="769" t="s">
        <v>610</v>
      </c>
      <c r="C426" s="546" t="s">
        <v>96</v>
      </c>
      <c r="D426" s="770" t="s">
        <v>1639</v>
      </c>
      <c r="E426" s="548" t="s">
        <v>27</v>
      </c>
      <c r="F426" s="520"/>
      <c r="G426" s="513"/>
      <c r="H426" s="474"/>
      <c r="I426" s="475" t="s">
        <v>621</v>
      </c>
      <c r="J426" s="521" t="s">
        <v>481</v>
      </c>
      <c r="K426" s="590"/>
      <c r="L426" s="892">
        <f>1.02*7200</f>
        <v>7344</v>
      </c>
      <c r="M426" s="508">
        <f t="shared" si="25"/>
        <v>9180</v>
      </c>
      <c r="AJ426" s="2"/>
      <c r="AK426" s="2"/>
      <c r="AL426" s="2"/>
      <c r="AM426" s="2"/>
    </row>
    <row r="427" spans="1:223" ht="26.25" customHeight="1">
      <c r="A427" s="421"/>
      <c r="B427" s="463" t="s">
        <v>1112</v>
      </c>
      <c r="C427" s="464" t="s">
        <v>96</v>
      </c>
      <c r="D427" s="465" t="s">
        <v>78</v>
      </c>
      <c r="E427" s="466" t="s">
        <v>109</v>
      </c>
      <c r="F427" s="467"/>
      <c r="G427" s="513" t="s">
        <v>215</v>
      </c>
      <c r="H427" s="479" t="s">
        <v>145</v>
      </c>
      <c r="I427" s="481" t="s">
        <v>163</v>
      </c>
      <c r="J427" s="481"/>
      <c r="K427" s="477"/>
      <c r="L427" s="892">
        <f>1.02*6580</f>
        <v>6711.6</v>
      </c>
      <c r="M427" s="508">
        <f t="shared" si="25"/>
        <v>8389.5</v>
      </c>
      <c r="AJ427" s="2"/>
      <c r="AK427" s="2"/>
      <c r="AL427" s="2"/>
      <c r="AM427" s="2"/>
    </row>
    <row r="428" spans="1:223" ht="30.75" customHeight="1">
      <c r="A428" s="421"/>
      <c r="B428" s="463" t="s">
        <v>1113</v>
      </c>
      <c r="C428" s="464" t="s">
        <v>96</v>
      </c>
      <c r="D428" s="465" t="s">
        <v>346</v>
      </c>
      <c r="E428" s="466" t="s">
        <v>141</v>
      </c>
      <c r="F428" s="467"/>
      <c r="G428" s="468" t="s">
        <v>226</v>
      </c>
      <c r="H428" s="479" t="s">
        <v>145</v>
      </c>
      <c r="I428" s="528" t="s">
        <v>152</v>
      </c>
      <c r="J428" s="528"/>
      <c r="K428" s="471"/>
      <c r="L428" s="892">
        <f>1.02*4930</f>
        <v>5028.6000000000004</v>
      </c>
      <c r="M428" s="508">
        <f t="shared" si="25"/>
        <v>6285.75</v>
      </c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</row>
    <row r="429" spans="1:223" ht="30" customHeight="1">
      <c r="A429" s="421"/>
      <c r="B429" s="769" t="s">
        <v>595</v>
      </c>
      <c r="C429" s="546" t="s">
        <v>96</v>
      </c>
      <c r="D429" s="770" t="s">
        <v>1640</v>
      </c>
      <c r="E429" s="548" t="s">
        <v>141</v>
      </c>
      <c r="F429" s="520"/>
      <c r="G429" s="513"/>
      <c r="H429" s="479"/>
      <c r="I429" s="481"/>
      <c r="J429" s="507"/>
      <c r="K429" s="590"/>
      <c r="L429" s="892">
        <f>1.02*6080</f>
        <v>6201.6</v>
      </c>
      <c r="M429" s="508">
        <f t="shared" si="25"/>
        <v>7752</v>
      </c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</row>
    <row r="430" spans="1:223" ht="24" customHeight="1">
      <c r="A430" s="421"/>
      <c r="B430" s="463" t="s">
        <v>1114</v>
      </c>
      <c r="C430" s="464" t="s">
        <v>96</v>
      </c>
      <c r="D430" s="465" t="s">
        <v>347</v>
      </c>
      <c r="E430" s="466" t="s">
        <v>345</v>
      </c>
      <c r="F430" s="467"/>
      <c r="G430" s="468" t="s">
        <v>228</v>
      </c>
      <c r="H430" s="479" t="s">
        <v>145</v>
      </c>
      <c r="I430" s="528" t="s">
        <v>153</v>
      </c>
      <c r="J430" s="528"/>
      <c r="K430" s="471"/>
      <c r="L430" s="892">
        <f>1.02*5390</f>
        <v>5497.8</v>
      </c>
      <c r="M430" s="508">
        <f t="shared" si="25"/>
        <v>6872.25</v>
      </c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</row>
    <row r="431" spans="1:223" ht="31.5" customHeight="1">
      <c r="A431" s="421"/>
      <c r="B431" s="769" t="s">
        <v>1115</v>
      </c>
      <c r="C431" s="546" t="s">
        <v>96</v>
      </c>
      <c r="D431" s="770" t="s">
        <v>1641</v>
      </c>
      <c r="E431" s="548" t="s">
        <v>664</v>
      </c>
      <c r="F431" s="483"/>
      <c r="G431" s="513" t="s">
        <v>546</v>
      </c>
      <c r="H431" s="479"/>
      <c r="I431" s="481" t="s">
        <v>148</v>
      </c>
      <c r="J431" s="507" t="s">
        <v>481</v>
      </c>
      <c r="K431" s="590"/>
      <c r="L431" s="892">
        <f>1.02*5450</f>
        <v>5559</v>
      </c>
      <c r="M431" s="508">
        <f t="shared" si="25"/>
        <v>6948.75</v>
      </c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</row>
    <row r="432" spans="1:223" ht="30" customHeight="1">
      <c r="A432" s="421"/>
      <c r="B432" s="769" t="s">
        <v>596</v>
      </c>
      <c r="C432" s="546" t="s">
        <v>96</v>
      </c>
      <c r="D432" s="770" t="s">
        <v>1641</v>
      </c>
      <c r="E432" s="548" t="s">
        <v>345</v>
      </c>
      <c r="F432" s="520"/>
      <c r="G432" s="513"/>
      <c r="H432" s="479"/>
      <c r="I432" s="481"/>
      <c r="J432" s="507"/>
      <c r="K432" s="590"/>
      <c r="L432" s="892">
        <f>1.02*8550</f>
        <v>8721</v>
      </c>
      <c r="M432" s="508">
        <f t="shared" si="25"/>
        <v>10901.25</v>
      </c>
      <c r="AJ432" s="2"/>
      <c r="AK432" s="2"/>
      <c r="AL432" s="2"/>
      <c r="AM432" s="2"/>
    </row>
    <row r="433" spans="1:228" ht="27" customHeight="1">
      <c r="A433" s="421"/>
      <c r="B433" s="463" t="s">
        <v>1116</v>
      </c>
      <c r="C433" s="464" t="s">
        <v>96</v>
      </c>
      <c r="D433" s="465" t="s">
        <v>114</v>
      </c>
      <c r="E433" s="466" t="s">
        <v>141</v>
      </c>
      <c r="F433" s="467"/>
      <c r="G433" s="468" t="s">
        <v>226</v>
      </c>
      <c r="H433" s="479" t="s">
        <v>145</v>
      </c>
      <c r="I433" s="528" t="s">
        <v>153</v>
      </c>
      <c r="J433" s="528"/>
      <c r="K433" s="471"/>
      <c r="L433" s="892">
        <f>1.02*4930</f>
        <v>5028.6000000000004</v>
      </c>
      <c r="M433" s="508">
        <f t="shared" si="25"/>
        <v>6285.75</v>
      </c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</row>
    <row r="434" spans="1:228" s="4" customFormat="1" ht="36.75" customHeight="1">
      <c r="A434" s="421"/>
      <c r="B434" s="463" t="s">
        <v>995</v>
      </c>
      <c r="C434" s="464" t="s">
        <v>96</v>
      </c>
      <c r="D434" s="465" t="s">
        <v>1429</v>
      </c>
      <c r="E434" s="466" t="s">
        <v>43</v>
      </c>
      <c r="F434" s="467"/>
      <c r="G434" s="560" t="s">
        <v>206</v>
      </c>
      <c r="H434" s="469"/>
      <c r="I434" s="528" t="s">
        <v>151</v>
      </c>
      <c r="J434" s="528"/>
      <c r="K434" s="477"/>
      <c r="L434" s="892">
        <f>1.02*7220</f>
        <v>7364.4000000000005</v>
      </c>
      <c r="M434" s="508">
        <f t="shared" si="25"/>
        <v>9205.5</v>
      </c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</row>
    <row r="435" spans="1:228" s="4" customFormat="1" ht="36.75" customHeight="1">
      <c r="A435" s="421"/>
      <c r="B435" s="463" t="s">
        <v>996</v>
      </c>
      <c r="C435" s="464" t="s">
        <v>96</v>
      </c>
      <c r="D435" s="465" t="s">
        <v>1429</v>
      </c>
      <c r="E435" s="466" t="s">
        <v>43</v>
      </c>
      <c r="F435" s="467"/>
      <c r="G435" s="560" t="s">
        <v>206</v>
      </c>
      <c r="H435" s="469"/>
      <c r="I435" s="528" t="s">
        <v>151</v>
      </c>
      <c r="J435" s="528"/>
      <c r="K435" s="590" t="s">
        <v>548</v>
      </c>
      <c r="L435" s="892">
        <f>1.02*14350</f>
        <v>14637</v>
      </c>
      <c r="M435" s="508">
        <f t="shared" si="25"/>
        <v>18296.25</v>
      </c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</row>
    <row r="436" spans="1:228" s="4" customFormat="1" ht="33" customHeight="1">
      <c r="A436" s="435"/>
      <c r="B436" s="463" t="s">
        <v>1377</v>
      </c>
      <c r="C436" s="464" t="s">
        <v>115</v>
      </c>
      <c r="D436" s="465" t="s">
        <v>1429</v>
      </c>
      <c r="E436" s="466" t="s">
        <v>43</v>
      </c>
      <c r="F436" s="727"/>
      <c r="G436" s="560" t="s">
        <v>243</v>
      </c>
      <c r="H436" s="469"/>
      <c r="I436" s="528" t="s">
        <v>161</v>
      </c>
      <c r="J436" s="528"/>
      <c r="K436" s="590" t="s">
        <v>548</v>
      </c>
      <c r="L436" s="898">
        <f>1.02*8280</f>
        <v>8445.6</v>
      </c>
      <c r="M436" s="508">
        <f t="shared" si="25"/>
        <v>10557</v>
      </c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</row>
    <row r="437" spans="1:228" s="4" customFormat="1" ht="33" customHeight="1">
      <c r="A437" s="421"/>
      <c r="B437" s="463" t="s">
        <v>994</v>
      </c>
      <c r="C437" s="464" t="s">
        <v>96</v>
      </c>
      <c r="D437" s="465" t="s">
        <v>1429</v>
      </c>
      <c r="E437" s="466" t="s">
        <v>289</v>
      </c>
      <c r="F437" s="467"/>
      <c r="G437" s="560" t="s">
        <v>206</v>
      </c>
      <c r="H437" s="469"/>
      <c r="I437" s="528" t="s">
        <v>151</v>
      </c>
      <c r="J437" s="528"/>
      <c r="K437" s="477"/>
      <c r="L437" s="892">
        <f>1.02*7220</f>
        <v>7364.4000000000005</v>
      </c>
      <c r="M437" s="508">
        <f t="shared" si="25"/>
        <v>9205.5</v>
      </c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</row>
    <row r="438" spans="1:228" s="4" customFormat="1" ht="36.75" customHeight="1">
      <c r="A438" s="421"/>
      <c r="B438" s="463" t="s">
        <v>1118</v>
      </c>
      <c r="C438" s="464" t="s">
        <v>92</v>
      </c>
      <c r="D438" s="465" t="s">
        <v>1642</v>
      </c>
      <c r="E438" s="466" t="s">
        <v>1182</v>
      </c>
      <c r="F438" s="467"/>
      <c r="G438" s="513" t="s">
        <v>243</v>
      </c>
      <c r="H438" s="479"/>
      <c r="I438" s="481" t="s">
        <v>151</v>
      </c>
      <c r="J438" s="507"/>
      <c r="K438" s="477"/>
      <c r="L438" s="892">
        <f>1.02*7370</f>
        <v>7517.4000000000005</v>
      </c>
      <c r="M438" s="508">
        <f t="shared" si="25"/>
        <v>9396.75</v>
      </c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</row>
    <row r="439" spans="1:228" s="4" customFormat="1" ht="51" customHeight="1">
      <c r="A439" s="421"/>
      <c r="B439" s="769" t="s">
        <v>1117</v>
      </c>
      <c r="C439" s="546" t="s">
        <v>92</v>
      </c>
      <c r="D439" s="770" t="s">
        <v>1642</v>
      </c>
      <c r="E439" s="548" t="s">
        <v>1182</v>
      </c>
      <c r="F439" s="483"/>
      <c r="G439" s="513" t="s">
        <v>243</v>
      </c>
      <c r="H439" s="479" t="s">
        <v>145</v>
      </c>
      <c r="I439" s="481" t="s">
        <v>151</v>
      </c>
      <c r="J439" s="507"/>
      <c r="K439" s="590" t="s">
        <v>7</v>
      </c>
      <c r="L439" s="892">
        <f>1.02*13280</f>
        <v>13545.6</v>
      </c>
      <c r="M439" s="508">
        <f t="shared" si="25"/>
        <v>16932</v>
      </c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</row>
    <row r="440" spans="1:228" s="4" customFormat="1" ht="48.75" customHeight="1">
      <c r="A440" s="421"/>
      <c r="B440" s="769" t="s">
        <v>1119</v>
      </c>
      <c r="C440" s="546" t="s">
        <v>92</v>
      </c>
      <c r="D440" s="770" t="s">
        <v>1643</v>
      </c>
      <c r="E440" s="548" t="s">
        <v>648</v>
      </c>
      <c r="F440" s="483"/>
      <c r="G440" s="683" t="s">
        <v>92</v>
      </c>
      <c r="H440" s="474"/>
      <c r="I440" s="481" t="s">
        <v>160</v>
      </c>
      <c r="J440" s="507" t="s">
        <v>481</v>
      </c>
      <c r="K440" s="590"/>
      <c r="L440" s="892">
        <f>1.02*7370</f>
        <v>7517.4000000000005</v>
      </c>
      <c r="M440" s="508">
        <f t="shared" si="25"/>
        <v>9396.75</v>
      </c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</row>
    <row r="441" spans="1:228" s="1" customFormat="1" ht="44.25" customHeight="1">
      <c r="A441" s="421"/>
      <c r="B441" s="773" t="s">
        <v>1120</v>
      </c>
      <c r="C441" s="546" t="s">
        <v>92</v>
      </c>
      <c r="D441" s="770" t="s">
        <v>1644</v>
      </c>
      <c r="E441" s="548" t="s">
        <v>648</v>
      </c>
      <c r="F441" s="483"/>
      <c r="G441" s="683" t="s">
        <v>92</v>
      </c>
      <c r="H441" s="474"/>
      <c r="I441" s="481" t="s">
        <v>160</v>
      </c>
      <c r="J441" s="507" t="s">
        <v>481</v>
      </c>
      <c r="K441" s="590" t="s">
        <v>7</v>
      </c>
      <c r="L441" s="892">
        <f>1.02*13160</f>
        <v>13423.2</v>
      </c>
      <c r="M441" s="508">
        <f t="shared" si="25"/>
        <v>16779</v>
      </c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</row>
    <row r="442" spans="1:228" s="4" customFormat="1" ht="46.5" customHeight="1">
      <c r="A442" s="421"/>
      <c r="B442" s="463" t="s">
        <v>1121</v>
      </c>
      <c r="C442" s="464" t="s">
        <v>92</v>
      </c>
      <c r="D442" s="465" t="s">
        <v>722</v>
      </c>
      <c r="E442" s="466" t="s">
        <v>1279</v>
      </c>
      <c r="F442" s="467"/>
      <c r="G442" s="683" t="s">
        <v>243</v>
      </c>
      <c r="H442" s="474"/>
      <c r="I442" s="481" t="s">
        <v>151</v>
      </c>
      <c r="J442" s="507"/>
      <c r="K442" s="590"/>
      <c r="L442" s="892">
        <f>1.02*5980</f>
        <v>6099.6</v>
      </c>
      <c r="M442" s="508">
        <f t="shared" si="25"/>
        <v>7624.5</v>
      </c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</row>
    <row r="443" spans="1:228" s="4" customFormat="1" ht="48.75" customHeight="1">
      <c r="A443" s="421"/>
      <c r="B443" s="463" t="s">
        <v>1308</v>
      </c>
      <c r="C443" s="464" t="s">
        <v>92</v>
      </c>
      <c r="D443" s="465" t="s">
        <v>1645</v>
      </c>
      <c r="E443" s="466" t="s">
        <v>1229</v>
      </c>
      <c r="F443" s="467"/>
      <c r="G443" s="683" t="s">
        <v>243</v>
      </c>
      <c r="H443" s="474"/>
      <c r="I443" s="481" t="s">
        <v>1309</v>
      </c>
      <c r="J443" s="481"/>
      <c r="K443" s="590"/>
      <c r="L443" s="892">
        <f>1.02*8528</f>
        <v>8698.56</v>
      </c>
      <c r="M443" s="508">
        <f t="shared" si="25"/>
        <v>10873.199999999999</v>
      </c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</row>
    <row r="444" spans="1:228" s="4" customFormat="1" ht="39" customHeight="1">
      <c r="A444" s="421"/>
      <c r="B444" s="774" t="s">
        <v>1122</v>
      </c>
      <c r="C444" s="775" t="s">
        <v>92</v>
      </c>
      <c r="D444" s="776" t="s">
        <v>417</v>
      </c>
      <c r="E444" s="777" t="s">
        <v>344</v>
      </c>
      <c r="F444" s="525"/>
      <c r="G444" s="598" t="s">
        <v>107</v>
      </c>
      <c r="H444" s="629"/>
      <c r="I444" s="496" t="s">
        <v>159</v>
      </c>
      <c r="J444" s="496"/>
      <c r="K444" s="497"/>
      <c r="L444" s="892">
        <v>6200</v>
      </c>
      <c r="M444" s="498">
        <f t="shared" si="25"/>
        <v>7750</v>
      </c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</row>
    <row r="445" spans="1:228" s="4" customFormat="1" ht="30" customHeight="1">
      <c r="A445" s="421"/>
      <c r="B445" s="463" t="s">
        <v>987</v>
      </c>
      <c r="C445" s="464" t="s">
        <v>96</v>
      </c>
      <c r="D445" s="465" t="s">
        <v>1430</v>
      </c>
      <c r="E445" s="466" t="s">
        <v>1431</v>
      </c>
      <c r="F445" s="467"/>
      <c r="G445" s="560" t="s">
        <v>206</v>
      </c>
      <c r="H445" s="469"/>
      <c r="I445" s="528" t="s">
        <v>159</v>
      </c>
      <c r="J445" s="528"/>
      <c r="K445" s="477"/>
      <c r="L445" s="892">
        <f>1.02*7160</f>
        <v>7303.2</v>
      </c>
      <c r="M445" s="508">
        <f t="shared" si="25"/>
        <v>9129</v>
      </c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</row>
    <row r="446" spans="1:228" s="4" customFormat="1" ht="31.5" customHeight="1">
      <c r="A446" s="421"/>
      <c r="B446" s="463" t="s">
        <v>988</v>
      </c>
      <c r="C446" s="464" t="s">
        <v>96</v>
      </c>
      <c r="D446" s="465" t="s">
        <v>418</v>
      </c>
      <c r="E446" s="466" t="s">
        <v>348</v>
      </c>
      <c r="F446" s="467"/>
      <c r="G446" s="560" t="s">
        <v>206</v>
      </c>
      <c r="H446" s="469"/>
      <c r="I446" s="528" t="s">
        <v>159</v>
      </c>
      <c r="J446" s="528"/>
      <c r="K446" s="590" t="s">
        <v>548</v>
      </c>
      <c r="L446" s="892">
        <f>1.02*14550</f>
        <v>14841</v>
      </c>
      <c r="M446" s="508">
        <f t="shared" si="25"/>
        <v>18551.25</v>
      </c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</row>
    <row r="447" spans="1:228" s="4" customFormat="1" ht="30" customHeight="1">
      <c r="A447" s="421"/>
      <c r="B447" s="463" t="s">
        <v>1123</v>
      </c>
      <c r="C447" s="464" t="s">
        <v>92</v>
      </c>
      <c r="D447" s="465" t="s">
        <v>1432</v>
      </c>
      <c r="E447" s="466" t="s">
        <v>1435</v>
      </c>
      <c r="F447" s="467"/>
      <c r="G447" s="682" t="s">
        <v>92</v>
      </c>
      <c r="H447" s="474"/>
      <c r="I447" s="481" t="s">
        <v>48</v>
      </c>
      <c r="J447" s="481"/>
      <c r="K447" s="477"/>
      <c r="L447" s="892">
        <f>1.02*9630</f>
        <v>9822.6</v>
      </c>
      <c r="M447" s="508">
        <f t="shared" si="25"/>
        <v>12278.25</v>
      </c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</row>
    <row r="448" spans="1:228" s="4" customFormat="1" ht="39" customHeight="1">
      <c r="A448" s="421"/>
      <c r="B448" s="550" t="s">
        <v>1438</v>
      </c>
      <c r="C448" s="551" t="s">
        <v>103</v>
      </c>
      <c r="D448" s="557" t="s">
        <v>1646</v>
      </c>
      <c r="E448" s="552" t="s">
        <v>117</v>
      </c>
      <c r="F448" s="542" t="s">
        <v>1351</v>
      </c>
      <c r="G448" s="683" t="s">
        <v>103</v>
      </c>
      <c r="H448" s="474" t="s">
        <v>145</v>
      </c>
      <c r="I448" s="481" t="s">
        <v>248</v>
      </c>
      <c r="J448" s="481"/>
      <c r="K448" s="590"/>
      <c r="L448" s="892">
        <f>1.02*6700</f>
        <v>6834</v>
      </c>
      <c r="M448" s="685">
        <f t="shared" si="25"/>
        <v>8542.5</v>
      </c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</row>
    <row r="449" spans="1:228" s="4" customFormat="1" ht="30" customHeight="1">
      <c r="A449" s="421"/>
      <c r="B449" s="463" t="s">
        <v>991</v>
      </c>
      <c r="C449" s="464" t="s">
        <v>96</v>
      </c>
      <c r="D449" s="465" t="s">
        <v>1436</v>
      </c>
      <c r="E449" s="466" t="s">
        <v>117</v>
      </c>
      <c r="F449" s="467"/>
      <c r="G449" s="473" t="s">
        <v>186</v>
      </c>
      <c r="H449" s="619"/>
      <c r="I449" s="481" t="s">
        <v>151</v>
      </c>
      <c r="J449" s="481"/>
      <c r="K449" s="477"/>
      <c r="L449" s="892">
        <f>1.02*7220</f>
        <v>7364.4000000000005</v>
      </c>
      <c r="M449" s="508">
        <f t="shared" si="25"/>
        <v>9205.5</v>
      </c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</row>
    <row r="450" spans="1:228" s="4" customFormat="1" ht="31.5" customHeight="1">
      <c r="A450" s="421"/>
      <c r="B450" s="463" t="s">
        <v>990</v>
      </c>
      <c r="C450" s="464" t="s">
        <v>96</v>
      </c>
      <c r="D450" s="465" t="s">
        <v>1437</v>
      </c>
      <c r="E450" s="466" t="s">
        <v>117</v>
      </c>
      <c r="F450" s="467"/>
      <c r="G450" s="480" t="s">
        <v>186</v>
      </c>
      <c r="H450" s="595"/>
      <c r="I450" s="481" t="s">
        <v>151</v>
      </c>
      <c r="J450" s="481"/>
      <c r="K450" s="590" t="s">
        <v>548</v>
      </c>
      <c r="L450" s="892">
        <f>1.02*14990</f>
        <v>15289.800000000001</v>
      </c>
      <c r="M450" s="508">
        <f t="shared" si="25"/>
        <v>19112.25</v>
      </c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</row>
    <row r="451" spans="1:228" s="4" customFormat="1" ht="31.5" customHeight="1">
      <c r="A451" s="421"/>
      <c r="B451" s="463" t="s">
        <v>989</v>
      </c>
      <c r="C451" s="464" t="s">
        <v>92</v>
      </c>
      <c r="D451" s="465" t="s">
        <v>1433</v>
      </c>
      <c r="E451" s="466" t="s">
        <v>117</v>
      </c>
      <c r="F451" s="467"/>
      <c r="G451" s="682"/>
      <c r="H451" s="474" t="s">
        <v>145</v>
      </c>
      <c r="I451" s="481" t="s">
        <v>248</v>
      </c>
      <c r="J451" s="481"/>
      <c r="K451" s="477"/>
      <c r="L451" s="892">
        <f>1.02*5730</f>
        <v>5844.6</v>
      </c>
      <c r="M451" s="508">
        <f t="shared" si="25"/>
        <v>7305.75</v>
      </c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</row>
    <row r="452" spans="1:228" s="4" customFormat="1" ht="31.5" customHeight="1">
      <c r="A452" s="421"/>
      <c r="B452" s="463" t="s">
        <v>992</v>
      </c>
      <c r="C452" s="464" t="s">
        <v>96</v>
      </c>
      <c r="D452" s="465" t="s">
        <v>1434</v>
      </c>
      <c r="E452" s="466" t="s">
        <v>117</v>
      </c>
      <c r="F452" s="467"/>
      <c r="G452" s="683" t="s">
        <v>186</v>
      </c>
      <c r="H452" s="474"/>
      <c r="I452" s="481" t="s">
        <v>151</v>
      </c>
      <c r="J452" s="481"/>
      <c r="K452" s="590" t="s">
        <v>7</v>
      </c>
      <c r="L452" s="892">
        <f>1.02*13920</f>
        <v>14198.4</v>
      </c>
      <c r="M452" s="508">
        <f t="shared" si="25"/>
        <v>17748</v>
      </c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</row>
    <row r="453" spans="1:228" s="4" customFormat="1" ht="31.5" customHeight="1">
      <c r="A453" s="421"/>
      <c r="B453" s="489" t="s">
        <v>1124</v>
      </c>
      <c r="C453" s="490" t="s">
        <v>547</v>
      </c>
      <c r="D453" s="491" t="s">
        <v>1433</v>
      </c>
      <c r="E453" s="492" t="s">
        <v>368</v>
      </c>
      <c r="F453" s="525"/>
      <c r="G453" s="778" t="s">
        <v>547</v>
      </c>
      <c r="H453" s="495"/>
      <c r="I453" s="496" t="s">
        <v>151</v>
      </c>
      <c r="J453" s="601"/>
      <c r="K453" s="632" t="s">
        <v>548</v>
      </c>
      <c r="L453" s="892">
        <v>26000</v>
      </c>
      <c r="M453" s="498">
        <f t="shared" si="25"/>
        <v>32500</v>
      </c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</row>
    <row r="454" spans="1:228" s="4" customFormat="1" ht="35.25" customHeight="1">
      <c r="A454" s="421"/>
      <c r="B454" s="463" t="s">
        <v>993</v>
      </c>
      <c r="C454" s="464" t="s">
        <v>92</v>
      </c>
      <c r="D454" s="465" t="s">
        <v>1647</v>
      </c>
      <c r="E454" s="466" t="s">
        <v>117</v>
      </c>
      <c r="F454" s="483"/>
      <c r="G454" s="683" t="s">
        <v>243</v>
      </c>
      <c r="H454" s="474"/>
      <c r="I454" s="481" t="s">
        <v>160</v>
      </c>
      <c r="J454" s="481"/>
      <c r="K454" s="590" t="s">
        <v>7</v>
      </c>
      <c r="L454" s="892">
        <f>1.02*13860</f>
        <v>14137.2</v>
      </c>
      <c r="M454" s="508">
        <f t="shared" si="25"/>
        <v>17671.5</v>
      </c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</row>
    <row r="455" spans="1:228" ht="35.25" customHeight="1">
      <c r="A455" s="421"/>
      <c r="B455" s="463" t="s">
        <v>1214</v>
      </c>
      <c r="C455" s="464" t="s">
        <v>92</v>
      </c>
      <c r="D455" s="465" t="s">
        <v>1647</v>
      </c>
      <c r="E455" s="466" t="s">
        <v>117</v>
      </c>
      <c r="F455" s="542" t="s">
        <v>1213</v>
      </c>
      <c r="G455" s="779"/>
      <c r="H455" s="479"/>
      <c r="I455" s="481" t="s">
        <v>160</v>
      </c>
      <c r="J455" s="481"/>
      <c r="K455" s="477"/>
      <c r="L455" s="892">
        <f>1.02*8130</f>
        <v>8292.6</v>
      </c>
      <c r="M455" s="508">
        <f t="shared" si="25"/>
        <v>10365.75</v>
      </c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</row>
    <row r="456" spans="1:228" s="4" customFormat="1" ht="39" customHeight="1">
      <c r="A456" s="421"/>
      <c r="B456" s="550" t="s">
        <v>1364</v>
      </c>
      <c r="C456" s="551" t="s">
        <v>96</v>
      </c>
      <c r="D456" s="557" t="s">
        <v>1646</v>
      </c>
      <c r="E456" s="552" t="s">
        <v>117</v>
      </c>
      <c r="F456" s="542" t="s">
        <v>1351</v>
      </c>
      <c r="G456" s="683" t="s">
        <v>1366</v>
      </c>
      <c r="H456" s="474" t="s">
        <v>145</v>
      </c>
      <c r="I456" s="481" t="s">
        <v>48</v>
      </c>
      <c r="J456" s="481"/>
      <c r="K456" s="590"/>
      <c r="L456" s="892">
        <f>1.02*4950</f>
        <v>5049</v>
      </c>
      <c r="M456" s="508">
        <f t="shared" si="25"/>
        <v>6311.25</v>
      </c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</row>
    <row r="457" spans="1:228" s="4" customFormat="1" ht="31.5" customHeight="1">
      <c r="A457" s="421"/>
      <c r="B457" s="550" t="s">
        <v>986</v>
      </c>
      <c r="C457" s="551" t="s">
        <v>96</v>
      </c>
      <c r="D457" s="557" t="s">
        <v>1439</v>
      </c>
      <c r="E457" s="552" t="s">
        <v>43</v>
      </c>
      <c r="F457" s="553"/>
      <c r="G457" s="560" t="s">
        <v>206</v>
      </c>
      <c r="H457" s="469"/>
      <c r="I457" s="528" t="s">
        <v>159</v>
      </c>
      <c r="J457" s="528"/>
      <c r="K457" s="477"/>
      <c r="L457" s="892">
        <f>1.02*7290</f>
        <v>7435.8</v>
      </c>
      <c r="M457" s="508">
        <f t="shared" si="25"/>
        <v>9294.75</v>
      </c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</row>
    <row r="458" spans="1:228" s="4" customFormat="1" ht="36" customHeight="1">
      <c r="A458" s="421"/>
      <c r="B458" s="463" t="s">
        <v>1378</v>
      </c>
      <c r="C458" s="464" t="s">
        <v>96</v>
      </c>
      <c r="D458" s="557" t="s">
        <v>1440</v>
      </c>
      <c r="E458" s="466" t="s">
        <v>43</v>
      </c>
      <c r="F458" s="469"/>
      <c r="G458" s="560" t="s">
        <v>206</v>
      </c>
      <c r="H458" s="469"/>
      <c r="I458" s="528" t="s">
        <v>159</v>
      </c>
      <c r="J458" s="528"/>
      <c r="K458" s="590" t="s">
        <v>548</v>
      </c>
      <c r="L458" s="892">
        <f>1.02*12010</f>
        <v>12250.2</v>
      </c>
      <c r="M458" s="508">
        <f t="shared" si="25"/>
        <v>15312.75</v>
      </c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</row>
    <row r="459" spans="1:228" s="4" customFormat="1" ht="40.5" customHeight="1">
      <c r="A459" s="421"/>
      <c r="B459" s="565" t="s">
        <v>1379</v>
      </c>
      <c r="C459" s="566" t="s">
        <v>92</v>
      </c>
      <c r="D459" s="557" t="s">
        <v>1440</v>
      </c>
      <c r="E459" s="466" t="s">
        <v>43</v>
      </c>
      <c r="F459" s="467"/>
      <c r="G459" s="560" t="s">
        <v>243</v>
      </c>
      <c r="H459" s="469"/>
      <c r="I459" s="528" t="s">
        <v>159</v>
      </c>
      <c r="J459" s="528"/>
      <c r="K459" s="590" t="s">
        <v>548</v>
      </c>
      <c r="L459" s="892">
        <f>1.02*11940</f>
        <v>12178.800000000001</v>
      </c>
      <c r="M459" s="508">
        <f t="shared" si="25"/>
        <v>15223.500000000002</v>
      </c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</row>
    <row r="460" spans="1:228" s="4" customFormat="1" ht="37.5" customHeight="1">
      <c r="A460" s="421"/>
      <c r="B460" s="565" t="s">
        <v>1443</v>
      </c>
      <c r="C460" s="566" t="s">
        <v>96</v>
      </c>
      <c r="D460" s="567" t="s">
        <v>1648</v>
      </c>
      <c r="E460" s="577" t="s">
        <v>1442</v>
      </c>
      <c r="F460" s="780" t="s">
        <v>1351</v>
      </c>
      <c r="G460" s="683" t="s">
        <v>103</v>
      </c>
      <c r="H460" s="474" t="s">
        <v>145</v>
      </c>
      <c r="I460" s="481" t="s">
        <v>248</v>
      </c>
      <c r="J460" s="481"/>
      <c r="K460" s="590"/>
      <c r="L460" s="892">
        <f>1.02*5200</f>
        <v>5304</v>
      </c>
      <c r="M460" s="685">
        <f t="shared" si="25"/>
        <v>6630</v>
      </c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</row>
    <row r="461" spans="1:228" s="4" customFormat="1" ht="35.25" customHeight="1">
      <c r="A461" s="421"/>
      <c r="B461" s="565" t="s">
        <v>983</v>
      </c>
      <c r="C461" s="566" t="s">
        <v>96</v>
      </c>
      <c r="D461" s="465" t="s">
        <v>1441</v>
      </c>
      <c r="E461" s="577" t="s">
        <v>1442</v>
      </c>
      <c r="F461" s="690"/>
      <c r="G461" s="683" t="s">
        <v>206</v>
      </c>
      <c r="H461" s="474"/>
      <c r="I461" s="481" t="s">
        <v>151</v>
      </c>
      <c r="J461" s="481"/>
      <c r="K461" s="590"/>
      <c r="L461" s="892">
        <f>1.02*6400</f>
        <v>6528</v>
      </c>
      <c r="M461" s="508">
        <f t="shared" si="25"/>
        <v>8160</v>
      </c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</row>
    <row r="462" spans="1:228" s="4" customFormat="1" ht="35.25" customHeight="1">
      <c r="A462" s="421"/>
      <c r="B462" s="565" t="s">
        <v>981</v>
      </c>
      <c r="C462" s="566" t="s">
        <v>96</v>
      </c>
      <c r="D462" s="465" t="s">
        <v>1441</v>
      </c>
      <c r="E462" s="577" t="s">
        <v>1442</v>
      </c>
      <c r="F462" s="467"/>
      <c r="G462" s="683" t="s">
        <v>206</v>
      </c>
      <c r="H462" s="474"/>
      <c r="I462" s="481" t="s">
        <v>151</v>
      </c>
      <c r="J462" s="481"/>
      <c r="K462" s="590" t="s">
        <v>548</v>
      </c>
      <c r="L462" s="892">
        <f>1.02*14080</f>
        <v>14361.6</v>
      </c>
      <c r="M462" s="508">
        <f t="shared" si="25"/>
        <v>17952</v>
      </c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</row>
    <row r="463" spans="1:228" s="4" customFormat="1" ht="38.25" customHeight="1">
      <c r="A463" s="421"/>
      <c r="B463" s="565" t="s">
        <v>984</v>
      </c>
      <c r="C463" s="566" t="s">
        <v>92</v>
      </c>
      <c r="D463" s="465" t="s">
        <v>1441</v>
      </c>
      <c r="E463" s="577" t="s">
        <v>1442</v>
      </c>
      <c r="F463" s="690"/>
      <c r="G463" s="560" t="s">
        <v>243</v>
      </c>
      <c r="H463" s="464"/>
      <c r="I463" s="528" t="s">
        <v>248</v>
      </c>
      <c r="J463" s="471"/>
      <c r="K463" s="590" t="s">
        <v>7</v>
      </c>
      <c r="L463" s="892">
        <f>1.02*14450</f>
        <v>14739</v>
      </c>
      <c r="M463" s="508">
        <f t="shared" si="25"/>
        <v>18423.75</v>
      </c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</row>
    <row r="464" spans="1:228" s="4" customFormat="1" ht="30" customHeight="1">
      <c r="A464" s="421"/>
      <c r="B464" s="565" t="s">
        <v>982</v>
      </c>
      <c r="C464" s="566" t="s">
        <v>96</v>
      </c>
      <c r="D464" s="465" t="s">
        <v>1441</v>
      </c>
      <c r="E464" s="577" t="s">
        <v>1442</v>
      </c>
      <c r="F464" s="690"/>
      <c r="G464" s="683" t="s">
        <v>206</v>
      </c>
      <c r="H464" s="474"/>
      <c r="I464" s="481" t="s">
        <v>151</v>
      </c>
      <c r="J464" s="481"/>
      <c r="K464" s="590" t="s">
        <v>7</v>
      </c>
      <c r="L464" s="892">
        <f>1.02*13040</f>
        <v>13300.800000000001</v>
      </c>
      <c r="M464" s="508">
        <f t="shared" si="25"/>
        <v>16626</v>
      </c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</row>
    <row r="465" spans="1:223" s="4" customFormat="1" ht="36.75" customHeight="1">
      <c r="A465" s="421"/>
      <c r="B465" s="781" t="s">
        <v>1125</v>
      </c>
      <c r="C465" s="781" t="s">
        <v>547</v>
      </c>
      <c r="D465" s="491" t="s">
        <v>1441</v>
      </c>
      <c r="E465" s="782" t="s">
        <v>1442</v>
      </c>
      <c r="F465" s="783"/>
      <c r="G465" s="778" t="s">
        <v>547</v>
      </c>
      <c r="H465" s="495"/>
      <c r="I465" s="496" t="s">
        <v>151</v>
      </c>
      <c r="J465" s="601"/>
      <c r="K465" s="632" t="s">
        <v>7</v>
      </c>
      <c r="L465" s="892">
        <v>24000</v>
      </c>
      <c r="M465" s="498">
        <f t="shared" si="25"/>
        <v>30000</v>
      </c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</row>
    <row r="466" spans="1:223" s="4" customFormat="1" ht="53.25" customHeight="1">
      <c r="A466" s="421"/>
      <c r="B466" s="565" t="s">
        <v>985</v>
      </c>
      <c r="C466" s="566" t="s">
        <v>92</v>
      </c>
      <c r="D466" s="567" t="s">
        <v>1649</v>
      </c>
      <c r="E466" s="577" t="s">
        <v>1442</v>
      </c>
      <c r="F466" s="784"/>
      <c r="G466" s="560" t="s">
        <v>243</v>
      </c>
      <c r="H466" s="464"/>
      <c r="I466" s="528" t="s">
        <v>160</v>
      </c>
      <c r="J466" s="471"/>
      <c r="K466" s="590" t="s">
        <v>7</v>
      </c>
      <c r="L466" s="892">
        <f>1.02*14660</f>
        <v>14953.2</v>
      </c>
      <c r="M466" s="508">
        <f t="shared" si="25"/>
        <v>18691.5</v>
      </c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</row>
    <row r="467" spans="1:223" s="4" customFormat="1" ht="32.25" customHeight="1">
      <c r="A467" s="421"/>
      <c r="B467" s="565" t="s">
        <v>1365</v>
      </c>
      <c r="C467" s="566" t="s">
        <v>96</v>
      </c>
      <c r="D467" s="567" t="s">
        <v>1649</v>
      </c>
      <c r="E467" s="577" t="s">
        <v>1442</v>
      </c>
      <c r="F467" s="780" t="s">
        <v>1351</v>
      </c>
      <c r="G467" s="683" t="s">
        <v>1366</v>
      </c>
      <c r="H467" s="474" t="s">
        <v>145</v>
      </c>
      <c r="I467" s="481" t="s">
        <v>48</v>
      </c>
      <c r="J467" s="481"/>
      <c r="K467" s="590"/>
      <c r="L467" s="892">
        <f>1.02*3900</f>
        <v>3978</v>
      </c>
      <c r="M467" s="508">
        <f t="shared" si="25"/>
        <v>4972.5</v>
      </c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</row>
    <row r="468" spans="1:223" s="4" customFormat="1" ht="30" customHeight="1">
      <c r="A468" s="421"/>
      <c r="B468" s="565" t="s">
        <v>862</v>
      </c>
      <c r="C468" s="566" t="s">
        <v>96</v>
      </c>
      <c r="D468" s="567" t="s">
        <v>1444</v>
      </c>
      <c r="E468" s="577" t="s">
        <v>1445</v>
      </c>
      <c r="F468" s="690"/>
      <c r="G468" s="560" t="s">
        <v>178</v>
      </c>
      <c r="H468" s="469"/>
      <c r="I468" s="528" t="s">
        <v>162</v>
      </c>
      <c r="J468" s="528"/>
      <c r="K468" s="477"/>
      <c r="L468" s="892">
        <f>1.02*6610</f>
        <v>6742.2</v>
      </c>
      <c r="M468" s="508">
        <f t="shared" si="25"/>
        <v>8427.75</v>
      </c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</row>
    <row r="469" spans="1:223" s="4" customFormat="1" ht="30" customHeight="1">
      <c r="A469" s="421"/>
      <c r="B469" s="565" t="s">
        <v>1126</v>
      </c>
      <c r="C469" s="566" t="s">
        <v>96</v>
      </c>
      <c r="D469" s="567" t="s">
        <v>332</v>
      </c>
      <c r="E469" s="577" t="s">
        <v>486</v>
      </c>
      <c r="F469" s="467"/>
      <c r="G469" s="560" t="s">
        <v>229</v>
      </c>
      <c r="H469" s="469"/>
      <c r="I469" s="528" t="s">
        <v>159</v>
      </c>
      <c r="J469" s="528"/>
      <c r="K469" s="477"/>
      <c r="L469" s="892">
        <f>1.02*7290</f>
        <v>7435.8</v>
      </c>
      <c r="M469" s="508">
        <f t="shared" si="25"/>
        <v>9294.75</v>
      </c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</row>
    <row r="470" spans="1:223" s="4" customFormat="1" ht="30" customHeight="1">
      <c r="A470" s="421"/>
      <c r="B470" s="785" t="s">
        <v>1127</v>
      </c>
      <c r="C470" s="786" t="s">
        <v>96</v>
      </c>
      <c r="D470" s="787" t="s">
        <v>1650</v>
      </c>
      <c r="E470" s="788" t="s">
        <v>1329</v>
      </c>
      <c r="F470" s="483"/>
      <c r="G470" s="683" t="s">
        <v>1347</v>
      </c>
      <c r="H470" s="474" t="s">
        <v>145</v>
      </c>
      <c r="I470" s="481" t="s">
        <v>151</v>
      </c>
      <c r="J470" s="507" t="s">
        <v>481</v>
      </c>
      <c r="K470" s="477"/>
      <c r="L470" s="892">
        <f>1.02*7830</f>
        <v>7986.6</v>
      </c>
      <c r="M470" s="508">
        <f t="shared" si="25"/>
        <v>9983.25</v>
      </c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</row>
    <row r="471" spans="1:223" s="4" customFormat="1" ht="30" customHeight="1">
      <c r="A471" s="421"/>
      <c r="B471" s="789" t="s">
        <v>1128</v>
      </c>
      <c r="C471" s="790" t="s">
        <v>96</v>
      </c>
      <c r="D471" s="791" t="s">
        <v>1651</v>
      </c>
      <c r="E471" s="788" t="s">
        <v>549</v>
      </c>
      <c r="F471" s="483"/>
      <c r="G471" s="683" t="s">
        <v>519</v>
      </c>
      <c r="H471" s="474"/>
      <c r="I471" s="481" t="s">
        <v>151</v>
      </c>
      <c r="J471" s="507"/>
      <c r="K471" s="477"/>
      <c r="L471" s="892">
        <f>1.02*8560</f>
        <v>8731.2000000000007</v>
      </c>
      <c r="M471" s="680">
        <f t="shared" si="25"/>
        <v>10914</v>
      </c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</row>
    <row r="472" spans="1:223" s="4" customFormat="1" ht="30" customHeight="1">
      <c r="A472" s="421"/>
      <c r="B472" s="565" t="s">
        <v>1129</v>
      </c>
      <c r="C472" s="566" t="s">
        <v>96</v>
      </c>
      <c r="D472" s="567" t="s">
        <v>6</v>
      </c>
      <c r="E472" s="577" t="s">
        <v>27</v>
      </c>
      <c r="F472" s="690"/>
      <c r="G472" s="683" t="s">
        <v>209</v>
      </c>
      <c r="H472" s="474"/>
      <c r="I472" s="481" t="s">
        <v>155</v>
      </c>
      <c r="J472" s="481"/>
      <c r="K472" s="590"/>
      <c r="L472" s="892">
        <f>1.02*5370</f>
        <v>5477.4000000000005</v>
      </c>
      <c r="M472" s="680">
        <f t="shared" si="25"/>
        <v>6846.7500000000009</v>
      </c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</row>
    <row r="473" spans="1:223" s="52" customFormat="1" ht="23.25" customHeight="1">
      <c r="A473" s="421"/>
      <c r="B473" s="792"/>
      <c r="C473" s="793"/>
      <c r="D473" s="794" t="s">
        <v>349</v>
      </c>
      <c r="E473" s="795"/>
      <c r="F473" s="796"/>
      <c r="G473" s="503"/>
      <c r="H473" s="502"/>
      <c r="I473" s="504"/>
      <c r="J473" s="505"/>
      <c r="K473" s="506"/>
      <c r="L473" s="892"/>
      <c r="M473" s="718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  <c r="CF473" s="42"/>
      <c r="CG473" s="42"/>
      <c r="CH473" s="42"/>
      <c r="CI473" s="42"/>
      <c r="CJ473" s="42"/>
      <c r="CK473" s="42"/>
      <c r="CL473" s="42"/>
      <c r="CM473" s="42"/>
      <c r="CN473" s="42"/>
      <c r="CO473" s="42"/>
      <c r="CP473" s="42"/>
      <c r="CQ473" s="42"/>
      <c r="CR473" s="42"/>
      <c r="CS473" s="42"/>
      <c r="CT473" s="42"/>
      <c r="CU473" s="42"/>
      <c r="CV473" s="42"/>
      <c r="CW473" s="42"/>
      <c r="CX473" s="42"/>
      <c r="CY473" s="42"/>
      <c r="CZ473" s="42"/>
      <c r="DA473" s="42"/>
      <c r="DB473" s="42"/>
      <c r="DC473" s="42"/>
      <c r="DD473" s="42"/>
      <c r="DE473" s="42"/>
      <c r="DF473" s="42"/>
      <c r="DG473" s="42"/>
      <c r="DH473" s="42"/>
      <c r="DI473" s="42"/>
      <c r="DJ473" s="42"/>
      <c r="DK473" s="42"/>
      <c r="DL473" s="42"/>
      <c r="DM473" s="42"/>
      <c r="DN473" s="42"/>
      <c r="DO473" s="42"/>
      <c r="DP473" s="42"/>
      <c r="DQ473" s="42"/>
      <c r="DR473" s="42"/>
      <c r="DS473" s="42"/>
      <c r="DT473" s="42"/>
      <c r="DU473" s="42"/>
      <c r="DV473" s="42"/>
      <c r="DW473" s="42"/>
      <c r="DX473" s="42"/>
      <c r="DY473" s="42"/>
      <c r="DZ473" s="42"/>
      <c r="EA473" s="42"/>
      <c r="EB473" s="42"/>
      <c r="EC473" s="42"/>
      <c r="ED473" s="42"/>
      <c r="EE473" s="42"/>
      <c r="EF473" s="42"/>
      <c r="EG473" s="42"/>
      <c r="EH473" s="42"/>
      <c r="EI473" s="42"/>
      <c r="EJ473" s="42"/>
      <c r="EK473" s="42"/>
      <c r="EL473" s="42"/>
      <c r="EM473" s="42"/>
      <c r="EN473" s="42"/>
      <c r="EO473" s="42"/>
      <c r="EP473" s="42"/>
      <c r="EQ473" s="42"/>
      <c r="ER473" s="42"/>
      <c r="ES473" s="42"/>
      <c r="ET473" s="42"/>
      <c r="EU473" s="42"/>
      <c r="EV473" s="42"/>
      <c r="EW473" s="42"/>
      <c r="EX473" s="42"/>
      <c r="EY473" s="42"/>
      <c r="EZ473" s="42"/>
      <c r="FA473" s="42"/>
      <c r="FB473" s="42"/>
      <c r="FC473" s="42"/>
      <c r="FD473" s="42"/>
      <c r="FE473" s="42"/>
      <c r="FF473" s="42"/>
      <c r="FG473" s="42"/>
      <c r="FH473" s="42"/>
      <c r="FI473" s="42"/>
      <c r="FJ473" s="42"/>
      <c r="FK473" s="42"/>
      <c r="FL473" s="42"/>
      <c r="FM473" s="42"/>
      <c r="FN473" s="42"/>
      <c r="FO473" s="42"/>
      <c r="FP473" s="42"/>
      <c r="FQ473" s="42"/>
      <c r="FR473" s="42"/>
      <c r="FS473" s="42"/>
      <c r="FT473" s="42"/>
      <c r="FU473" s="42"/>
      <c r="FV473" s="42"/>
      <c r="FW473" s="42"/>
      <c r="FX473" s="42"/>
      <c r="FY473" s="42"/>
      <c r="FZ473" s="42"/>
      <c r="GA473" s="42"/>
      <c r="GB473" s="42"/>
      <c r="GC473" s="42"/>
      <c r="GD473" s="42"/>
      <c r="GE473" s="42"/>
      <c r="GF473" s="42"/>
      <c r="GG473" s="42"/>
      <c r="GH473" s="42"/>
      <c r="GI473" s="42"/>
      <c r="GJ473" s="42"/>
      <c r="GK473" s="42"/>
      <c r="GL473" s="42"/>
      <c r="GM473" s="42"/>
      <c r="GN473" s="42"/>
      <c r="GO473" s="42"/>
      <c r="GP473" s="42"/>
      <c r="GQ473" s="42"/>
      <c r="GR473" s="42"/>
      <c r="GS473" s="42"/>
      <c r="GT473" s="42"/>
      <c r="GU473" s="42"/>
      <c r="GV473" s="42"/>
      <c r="GW473" s="42"/>
      <c r="GX473" s="42"/>
      <c r="GY473" s="42"/>
      <c r="GZ473" s="42"/>
      <c r="HA473" s="42"/>
      <c r="HB473" s="42"/>
      <c r="HC473" s="42"/>
      <c r="HD473" s="42"/>
      <c r="HE473" s="42"/>
      <c r="HF473" s="42"/>
      <c r="HG473" s="42"/>
      <c r="HH473" s="42"/>
      <c r="HI473" s="42"/>
      <c r="HJ473" s="42"/>
      <c r="HK473" s="42"/>
      <c r="HL473" s="42"/>
      <c r="HM473" s="42"/>
      <c r="HN473" s="42"/>
      <c r="HO473" s="42"/>
    </row>
    <row r="474" spans="1:223" s="4" customFormat="1" ht="27" customHeight="1">
      <c r="A474" s="421"/>
      <c r="B474" s="484" t="s">
        <v>1370</v>
      </c>
      <c r="C474" s="464" t="s">
        <v>103</v>
      </c>
      <c r="D474" s="485" t="s">
        <v>434</v>
      </c>
      <c r="E474" s="486" t="s">
        <v>368</v>
      </c>
      <c r="F474" s="542" t="s">
        <v>1351</v>
      </c>
      <c r="G474" s="480" t="s">
        <v>103</v>
      </c>
      <c r="H474" s="474"/>
      <c r="I474" s="481" t="s">
        <v>248</v>
      </c>
      <c r="J474" s="481"/>
      <c r="K474" s="482"/>
      <c r="L474" s="892">
        <f>1.02*4300</f>
        <v>4386</v>
      </c>
      <c r="M474" s="508">
        <f t="shared" ref="M474:M501" si="26">L474*1.25</f>
        <v>5482.5</v>
      </c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</row>
    <row r="475" spans="1:223" ht="21.75" customHeight="1">
      <c r="A475" s="421"/>
      <c r="B475" s="545" t="s">
        <v>1130</v>
      </c>
      <c r="C475" s="797" t="s">
        <v>92</v>
      </c>
      <c r="D475" s="770" t="s">
        <v>434</v>
      </c>
      <c r="E475" s="548" t="s">
        <v>368</v>
      </c>
      <c r="F475" s="467"/>
      <c r="G475" s="798" t="s">
        <v>92</v>
      </c>
      <c r="H475" s="543"/>
      <c r="I475" s="724" t="s">
        <v>248</v>
      </c>
      <c r="J475" s="799"/>
      <c r="K475" s="800"/>
      <c r="L475" s="892">
        <f>1.02*4890</f>
        <v>4987.8</v>
      </c>
      <c r="M475" s="508">
        <f t="shared" si="26"/>
        <v>6234.75</v>
      </c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</row>
    <row r="476" spans="1:223" ht="32.25" customHeight="1">
      <c r="A476" s="421"/>
      <c r="B476" s="463" t="s">
        <v>827</v>
      </c>
      <c r="C476" s="464" t="s">
        <v>96</v>
      </c>
      <c r="D476" s="465" t="s">
        <v>1447</v>
      </c>
      <c r="E476" s="466" t="s">
        <v>1448</v>
      </c>
      <c r="F476" s="467"/>
      <c r="G476" s="478" t="s">
        <v>167</v>
      </c>
      <c r="H476" s="474" t="s">
        <v>145</v>
      </c>
      <c r="I476" s="470" t="s">
        <v>147</v>
      </c>
      <c r="J476" s="470"/>
      <c r="K476" s="471"/>
      <c r="L476" s="892">
        <f>1.02*5310</f>
        <v>5416.2</v>
      </c>
      <c r="M476" s="508">
        <f t="shared" si="26"/>
        <v>6770.25</v>
      </c>
      <c r="AJ476" s="2"/>
      <c r="AK476" s="2"/>
      <c r="AL476" s="2"/>
      <c r="AM476" s="2"/>
    </row>
    <row r="477" spans="1:223" ht="39.75" customHeight="1">
      <c r="A477" s="421"/>
      <c r="B477" s="463" t="s">
        <v>1131</v>
      </c>
      <c r="C477" s="464" t="s">
        <v>96</v>
      </c>
      <c r="D477" s="465" t="s">
        <v>18</v>
      </c>
      <c r="E477" s="466" t="s">
        <v>90</v>
      </c>
      <c r="F477" s="467"/>
      <c r="G477" s="480" t="s">
        <v>249</v>
      </c>
      <c r="H477" s="467"/>
      <c r="I477" s="481" t="s">
        <v>155</v>
      </c>
      <c r="J477" s="481"/>
      <c r="K477" s="477"/>
      <c r="L477" s="892">
        <f>1.02*7160</f>
        <v>7303.2</v>
      </c>
      <c r="M477" s="508">
        <f t="shared" si="26"/>
        <v>9129</v>
      </c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</row>
    <row r="478" spans="1:223" ht="39.75" customHeight="1">
      <c r="A478" s="421"/>
      <c r="B478" s="489" t="s">
        <v>1014</v>
      </c>
      <c r="C478" s="596" t="s">
        <v>92</v>
      </c>
      <c r="D478" s="491" t="s">
        <v>1652</v>
      </c>
      <c r="E478" s="492" t="s">
        <v>1446</v>
      </c>
      <c r="F478" s="525"/>
      <c r="G478" s="494" t="s">
        <v>243</v>
      </c>
      <c r="H478" s="629"/>
      <c r="I478" s="630" t="s">
        <v>161</v>
      </c>
      <c r="J478" s="630" t="s">
        <v>481</v>
      </c>
      <c r="K478" s="497"/>
      <c r="L478" s="892">
        <v>7880</v>
      </c>
      <c r="M478" s="498">
        <f t="shared" si="26"/>
        <v>9850</v>
      </c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</row>
    <row r="479" spans="1:223" ht="45" customHeight="1">
      <c r="A479" s="421"/>
      <c r="B479" s="463" t="s">
        <v>827</v>
      </c>
      <c r="C479" s="464" t="s">
        <v>96</v>
      </c>
      <c r="D479" s="465" t="s">
        <v>1449</v>
      </c>
      <c r="E479" s="466" t="s">
        <v>1450</v>
      </c>
      <c r="F479" s="467"/>
      <c r="G479" s="478" t="s">
        <v>167</v>
      </c>
      <c r="H479" s="474" t="s">
        <v>145</v>
      </c>
      <c r="I479" s="470" t="s">
        <v>147</v>
      </c>
      <c r="J479" s="470"/>
      <c r="K479" s="471"/>
      <c r="L479" s="892">
        <f>1.02*5310</f>
        <v>5416.2</v>
      </c>
      <c r="M479" s="508">
        <f t="shared" si="26"/>
        <v>6770.25</v>
      </c>
      <c r="AJ479" s="2"/>
      <c r="AK479" s="2"/>
      <c r="AL479" s="2"/>
      <c r="AM479" s="2"/>
    </row>
    <row r="480" spans="1:223" ht="45" customHeight="1">
      <c r="A480" s="421"/>
      <c r="B480" s="463" t="s">
        <v>1133</v>
      </c>
      <c r="C480" s="529" t="s">
        <v>96</v>
      </c>
      <c r="D480" s="465" t="s">
        <v>1653</v>
      </c>
      <c r="E480" s="466" t="s">
        <v>559</v>
      </c>
      <c r="F480" s="467"/>
      <c r="G480" s="480" t="s">
        <v>209</v>
      </c>
      <c r="H480" s="474" t="s">
        <v>145</v>
      </c>
      <c r="I480" s="481" t="s">
        <v>151</v>
      </c>
      <c r="J480" s="470" t="s">
        <v>481</v>
      </c>
      <c r="K480" s="477"/>
      <c r="L480" s="892">
        <f>1.02*4610</f>
        <v>4702.2</v>
      </c>
      <c r="M480" s="508">
        <f t="shared" si="26"/>
        <v>5877.75</v>
      </c>
      <c r="AJ480" s="2"/>
      <c r="AK480" s="2"/>
      <c r="AL480" s="2"/>
      <c r="AM480" s="2"/>
    </row>
    <row r="481" spans="1:228" ht="45" customHeight="1">
      <c r="A481" s="421"/>
      <c r="B481" s="463" t="s">
        <v>1132</v>
      </c>
      <c r="C481" s="529" t="s">
        <v>96</v>
      </c>
      <c r="D481" s="465" t="s">
        <v>1654</v>
      </c>
      <c r="E481" s="466" t="s">
        <v>117</v>
      </c>
      <c r="F481" s="467"/>
      <c r="G481" s="480" t="s">
        <v>180</v>
      </c>
      <c r="H481" s="474" t="s">
        <v>145</v>
      </c>
      <c r="I481" s="481" t="s">
        <v>163</v>
      </c>
      <c r="J481" s="475" t="s">
        <v>481</v>
      </c>
      <c r="K481" s="477"/>
      <c r="L481" s="892">
        <f>1.02*4750</f>
        <v>4845</v>
      </c>
      <c r="M481" s="508">
        <f t="shared" si="26"/>
        <v>6056.25</v>
      </c>
      <c r="AJ481" s="2"/>
      <c r="AK481" s="2"/>
      <c r="AL481" s="2"/>
      <c r="AM481" s="2"/>
    </row>
    <row r="482" spans="1:228" ht="32.25" customHeight="1">
      <c r="A482" s="421"/>
      <c r="B482" s="463" t="s">
        <v>1132</v>
      </c>
      <c r="C482" s="529" t="s">
        <v>96</v>
      </c>
      <c r="D482" s="465" t="s">
        <v>725</v>
      </c>
      <c r="E482" s="466" t="s">
        <v>726</v>
      </c>
      <c r="F482" s="467"/>
      <c r="G482" s="480" t="s">
        <v>180</v>
      </c>
      <c r="H482" s="474" t="s">
        <v>145</v>
      </c>
      <c r="I482" s="481" t="s">
        <v>163</v>
      </c>
      <c r="J482" s="475" t="s">
        <v>481</v>
      </c>
      <c r="K482" s="477"/>
      <c r="L482" s="892">
        <f>1.02*4750</f>
        <v>4845</v>
      </c>
      <c r="M482" s="508">
        <f t="shared" si="26"/>
        <v>6056.25</v>
      </c>
      <c r="AJ482" s="2"/>
      <c r="AK482" s="2"/>
      <c r="AL482" s="2"/>
      <c r="AM482" s="2"/>
    </row>
    <row r="483" spans="1:228" ht="23.25" customHeight="1">
      <c r="A483" s="421"/>
      <c r="B483" s="463" t="s">
        <v>1134</v>
      </c>
      <c r="C483" s="529" t="s">
        <v>96</v>
      </c>
      <c r="D483" s="465" t="s">
        <v>725</v>
      </c>
      <c r="E483" s="466" t="s">
        <v>444</v>
      </c>
      <c r="F483" s="467"/>
      <c r="G483" s="798">
        <v>867</v>
      </c>
      <c r="H483" s="749" t="s">
        <v>145</v>
      </c>
      <c r="I483" s="724" t="s">
        <v>155</v>
      </c>
      <c r="J483" s="507"/>
      <c r="K483" s="477"/>
      <c r="L483" s="892">
        <f>1.02*4910</f>
        <v>5008.2</v>
      </c>
      <c r="M483" s="508">
        <f t="shared" si="26"/>
        <v>6260.25</v>
      </c>
      <c r="AJ483" s="2"/>
      <c r="AK483" s="2"/>
      <c r="AL483" s="2"/>
      <c r="AM483" s="2"/>
    </row>
    <row r="484" spans="1:228" ht="49.5" customHeight="1">
      <c r="A484" s="421"/>
      <c r="B484" s="463" t="s">
        <v>1135</v>
      </c>
      <c r="C484" s="464" t="s">
        <v>96</v>
      </c>
      <c r="D484" s="465" t="s">
        <v>350</v>
      </c>
      <c r="E484" s="466" t="s">
        <v>77</v>
      </c>
      <c r="F484" s="467"/>
      <c r="G484" s="480" t="s">
        <v>223</v>
      </c>
      <c r="H484" s="474" t="s">
        <v>145</v>
      </c>
      <c r="I484" s="471" t="s">
        <v>151</v>
      </c>
      <c r="J484" s="471"/>
      <c r="K484" s="471"/>
      <c r="L484" s="892">
        <f>1.02*4480</f>
        <v>4569.6000000000004</v>
      </c>
      <c r="M484" s="508">
        <f t="shared" si="26"/>
        <v>5712</v>
      </c>
      <c r="AJ484" s="2"/>
      <c r="AK484" s="2"/>
      <c r="AL484" s="2"/>
      <c r="AM484" s="2"/>
    </row>
    <row r="485" spans="1:228" ht="42" customHeight="1">
      <c r="A485" s="421"/>
      <c r="B485" s="463" t="s">
        <v>1084</v>
      </c>
      <c r="C485" s="464" t="s">
        <v>96</v>
      </c>
      <c r="D485" s="465" t="s">
        <v>1452</v>
      </c>
      <c r="E485" s="466" t="s">
        <v>1453</v>
      </c>
      <c r="F485" s="467"/>
      <c r="G485" s="468" t="s">
        <v>222</v>
      </c>
      <c r="H485" s="474" t="s">
        <v>145</v>
      </c>
      <c r="I485" s="471" t="s">
        <v>156</v>
      </c>
      <c r="J485" s="470"/>
      <c r="K485" s="471"/>
      <c r="L485" s="892">
        <f>1.02*6550</f>
        <v>6681</v>
      </c>
      <c r="M485" s="508">
        <f t="shared" si="26"/>
        <v>8351.25</v>
      </c>
      <c r="AJ485" s="2"/>
      <c r="AK485" s="2"/>
      <c r="AL485" s="2"/>
      <c r="AM485" s="2"/>
    </row>
    <row r="486" spans="1:228" ht="36" customHeight="1">
      <c r="A486" s="421"/>
      <c r="B486" s="463" t="s">
        <v>1136</v>
      </c>
      <c r="C486" s="529" t="s">
        <v>96</v>
      </c>
      <c r="D486" s="465" t="s">
        <v>1655</v>
      </c>
      <c r="E486" s="466" t="s">
        <v>455</v>
      </c>
      <c r="F486" s="467"/>
      <c r="G486" s="480" t="s">
        <v>215</v>
      </c>
      <c r="H486" s="474" t="s">
        <v>145</v>
      </c>
      <c r="I486" s="481">
        <v>1</v>
      </c>
      <c r="J486" s="471" t="s">
        <v>481</v>
      </c>
      <c r="K486" s="477"/>
      <c r="L486" s="892">
        <f>1.02*5330</f>
        <v>5436.6</v>
      </c>
      <c r="M486" s="508">
        <f t="shared" si="26"/>
        <v>6795.75</v>
      </c>
      <c r="AJ486" s="2"/>
      <c r="AK486" s="2"/>
      <c r="AL486" s="2"/>
      <c r="AM486" s="2"/>
    </row>
    <row r="487" spans="1:228" ht="22.5" customHeight="1">
      <c r="A487" s="421"/>
      <c r="B487" s="463" t="s">
        <v>1137</v>
      </c>
      <c r="C487" s="529" t="s">
        <v>96</v>
      </c>
      <c r="D487" s="465" t="s">
        <v>463</v>
      </c>
      <c r="E487" s="801" t="s">
        <v>462</v>
      </c>
      <c r="F487" s="802"/>
      <c r="G487" s="798">
        <v>185</v>
      </c>
      <c r="H487" s="758" t="s">
        <v>145</v>
      </c>
      <c r="I487" s="724" t="s">
        <v>153</v>
      </c>
      <c r="J487" s="507"/>
      <c r="K487" s="477"/>
      <c r="L487" s="892">
        <f>1.02*5330</f>
        <v>5436.6</v>
      </c>
      <c r="M487" s="508">
        <f t="shared" si="26"/>
        <v>6795.75</v>
      </c>
      <c r="AJ487" s="2"/>
      <c r="AK487" s="2"/>
      <c r="AL487" s="2"/>
      <c r="AM487" s="2"/>
    </row>
    <row r="488" spans="1:228" s="4" customFormat="1" ht="30" customHeight="1">
      <c r="A488" s="421"/>
      <c r="B488" s="484" t="s">
        <v>1403</v>
      </c>
      <c r="C488" s="464" t="s">
        <v>547</v>
      </c>
      <c r="D488" s="485" t="s">
        <v>1656</v>
      </c>
      <c r="E488" s="486" t="s">
        <v>1229</v>
      </c>
      <c r="F488" s="542" t="s">
        <v>1351</v>
      </c>
      <c r="G488" s="480" t="s">
        <v>1404</v>
      </c>
      <c r="H488" s="766" t="s">
        <v>145</v>
      </c>
      <c r="I488" s="481" t="s">
        <v>1405</v>
      </c>
      <c r="J488" s="481" t="s">
        <v>481</v>
      </c>
      <c r="K488" s="482"/>
      <c r="L488" s="892">
        <f>1.02*16800</f>
        <v>17136</v>
      </c>
      <c r="M488" s="508">
        <f t="shared" si="26"/>
        <v>21420</v>
      </c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</row>
    <row r="489" spans="1:228" ht="35.25" customHeight="1">
      <c r="A489" s="421"/>
      <c r="B489" s="463" t="s">
        <v>1306</v>
      </c>
      <c r="C489" s="464" t="s">
        <v>96</v>
      </c>
      <c r="D489" s="465" t="s">
        <v>1451</v>
      </c>
      <c r="E489" s="466" t="s">
        <v>1229</v>
      </c>
      <c r="F489" s="467"/>
      <c r="G489" s="480" t="s">
        <v>1353</v>
      </c>
      <c r="H489" s="766" t="s">
        <v>145</v>
      </c>
      <c r="I489" s="481" t="s">
        <v>1307</v>
      </c>
      <c r="J489" s="481" t="s">
        <v>481</v>
      </c>
      <c r="K489" s="482"/>
      <c r="L489" s="892">
        <f>1.02*6046</f>
        <v>6166.92</v>
      </c>
      <c r="M489" s="508">
        <f t="shared" si="26"/>
        <v>7708.65</v>
      </c>
      <c r="AJ489" s="2"/>
      <c r="AK489" s="2"/>
      <c r="AL489" s="2"/>
      <c r="AM489" s="2"/>
      <c r="HP489" s="4"/>
      <c r="HQ489" s="4"/>
      <c r="HR489" s="4"/>
      <c r="HS489" s="4"/>
      <c r="HT489" s="4"/>
    </row>
    <row r="490" spans="1:228" ht="35.25" customHeight="1">
      <c r="A490" s="421"/>
      <c r="B490" s="550" t="s">
        <v>1138</v>
      </c>
      <c r="C490" s="803" t="s">
        <v>96</v>
      </c>
      <c r="D490" s="557" t="s">
        <v>431</v>
      </c>
      <c r="E490" s="552" t="s">
        <v>1288</v>
      </c>
      <c r="F490" s="804"/>
      <c r="G490" s="747" t="s">
        <v>385</v>
      </c>
      <c r="H490" s="558" t="s">
        <v>145</v>
      </c>
      <c r="I490" s="739" t="s">
        <v>152</v>
      </c>
      <c r="J490" s="805"/>
      <c r="K490" s="806"/>
      <c r="L490" s="892">
        <f>1.02*4470</f>
        <v>4559.3999999999996</v>
      </c>
      <c r="M490" s="508">
        <f t="shared" si="26"/>
        <v>5699.25</v>
      </c>
      <c r="AJ490" s="2"/>
      <c r="AK490" s="2"/>
      <c r="AL490" s="2"/>
      <c r="AM490" s="2"/>
    </row>
    <row r="491" spans="1:228" ht="32.25" customHeight="1">
      <c r="A491" s="421"/>
      <c r="B491" s="463" t="s">
        <v>894</v>
      </c>
      <c r="C491" s="464" t="s">
        <v>96</v>
      </c>
      <c r="D491" s="465" t="s">
        <v>1454</v>
      </c>
      <c r="E491" s="466" t="s">
        <v>119</v>
      </c>
      <c r="F491" s="469"/>
      <c r="G491" s="560" t="s">
        <v>181</v>
      </c>
      <c r="H491" s="474" t="s">
        <v>145</v>
      </c>
      <c r="I491" s="470" t="s">
        <v>151</v>
      </c>
      <c r="J491" s="470"/>
      <c r="K491" s="471"/>
      <c r="L491" s="892">
        <f>1.02*6420</f>
        <v>6548.4000000000005</v>
      </c>
      <c r="M491" s="508">
        <f t="shared" si="26"/>
        <v>8185.5000000000009</v>
      </c>
      <c r="AJ491" s="2"/>
      <c r="AK491" s="2"/>
      <c r="AL491" s="2"/>
      <c r="AM491" s="2"/>
    </row>
    <row r="492" spans="1:228" ht="33.75" customHeight="1">
      <c r="A492" s="421"/>
      <c r="B492" s="565" t="s">
        <v>1139</v>
      </c>
      <c r="C492" s="566" t="s">
        <v>96</v>
      </c>
      <c r="D492" s="567" t="s">
        <v>1455</v>
      </c>
      <c r="E492" s="577" t="s">
        <v>1456</v>
      </c>
      <c r="F492" s="690"/>
      <c r="G492" s="665" t="s">
        <v>250</v>
      </c>
      <c r="H492" s="807" t="s">
        <v>145</v>
      </c>
      <c r="I492" s="755" t="s">
        <v>163</v>
      </c>
      <c r="J492" s="808" t="s">
        <v>481</v>
      </c>
      <c r="K492" s="809"/>
      <c r="L492" s="892">
        <f>1.02*6140</f>
        <v>6262.8</v>
      </c>
      <c r="M492" s="508">
        <f t="shared" si="26"/>
        <v>7828.5</v>
      </c>
      <c r="AJ492" s="2"/>
      <c r="AK492" s="2"/>
      <c r="AL492" s="2"/>
      <c r="AM492" s="2"/>
    </row>
    <row r="493" spans="1:228" s="4" customFormat="1" ht="36" customHeight="1">
      <c r="A493" s="421"/>
      <c r="B493" s="463" t="s">
        <v>1065</v>
      </c>
      <c r="C493" s="464" t="s">
        <v>96</v>
      </c>
      <c r="D493" s="465" t="s">
        <v>1657</v>
      </c>
      <c r="E493" s="466" t="s">
        <v>1457</v>
      </c>
      <c r="F493" s="467"/>
      <c r="G493" s="468" t="s">
        <v>218</v>
      </c>
      <c r="H493" s="474" t="s">
        <v>145</v>
      </c>
      <c r="I493" s="471" t="s">
        <v>151</v>
      </c>
      <c r="J493" s="471" t="s">
        <v>481</v>
      </c>
      <c r="K493" s="471"/>
      <c r="L493" s="892">
        <f>1.02*8900</f>
        <v>9078</v>
      </c>
      <c r="M493" s="508">
        <f t="shared" si="26"/>
        <v>11347.5</v>
      </c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</row>
    <row r="494" spans="1:228" s="4" customFormat="1" ht="22.5" customHeight="1">
      <c r="A494" s="421"/>
      <c r="B494" s="850" t="s">
        <v>1369</v>
      </c>
      <c r="C494" s="850" t="s">
        <v>96</v>
      </c>
      <c r="D494" s="852" t="s">
        <v>1458</v>
      </c>
      <c r="E494" s="854" t="s">
        <v>1414</v>
      </c>
      <c r="F494" s="838" t="s">
        <v>1351</v>
      </c>
      <c r="G494" s="836" t="s">
        <v>1371</v>
      </c>
      <c r="H494" s="474" t="s">
        <v>145</v>
      </c>
      <c r="I494" s="841" t="s">
        <v>48</v>
      </c>
      <c r="J494" s="841" t="s">
        <v>481</v>
      </c>
      <c r="K494" s="842"/>
      <c r="L494" s="899">
        <f>1.02*6900</f>
        <v>7038</v>
      </c>
      <c r="M494" s="834">
        <f t="shared" si="26"/>
        <v>8797.5</v>
      </c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</row>
    <row r="495" spans="1:228" s="4" customFormat="1" ht="24" customHeight="1">
      <c r="A495" s="421"/>
      <c r="B495" s="851"/>
      <c r="C495" s="851"/>
      <c r="D495" s="853"/>
      <c r="E495" s="855"/>
      <c r="F495" s="856"/>
      <c r="G495" s="837"/>
      <c r="H495" s="481" t="s">
        <v>1372</v>
      </c>
      <c r="I495" s="848"/>
      <c r="J495" s="848"/>
      <c r="K495" s="849"/>
      <c r="L495" s="900"/>
      <c r="M495" s="835">
        <f t="shared" si="26"/>
        <v>0</v>
      </c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</row>
    <row r="496" spans="1:228" s="4" customFormat="1" ht="36" customHeight="1">
      <c r="A496" s="421"/>
      <c r="B496" s="489" t="s">
        <v>1300</v>
      </c>
      <c r="C496" s="490" t="s">
        <v>471</v>
      </c>
      <c r="D496" s="491" t="s">
        <v>1658</v>
      </c>
      <c r="E496" s="492" t="s">
        <v>1414</v>
      </c>
      <c r="F496" s="525"/>
      <c r="G496" s="494" t="s">
        <v>1303</v>
      </c>
      <c r="H496" s="495" t="s">
        <v>145</v>
      </c>
      <c r="I496" s="496" t="s">
        <v>48</v>
      </c>
      <c r="J496" s="496" t="s">
        <v>481</v>
      </c>
      <c r="K496" s="497"/>
      <c r="L496" s="892">
        <v>15100</v>
      </c>
      <c r="M496" s="498">
        <f t="shared" si="26"/>
        <v>18875</v>
      </c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</row>
    <row r="497" spans="1:228" s="4" customFormat="1" ht="33.75" customHeight="1">
      <c r="A497" s="421"/>
      <c r="B497" s="463" t="s">
        <v>1140</v>
      </c>
      <c r="C497" s="529" t="s">
        <v>96</v>
      </c>
      <c r="D497" s="465" t="s">
        <v>1659</v>
      </c>
      <c r="E497" s="466" t="s">
        <v>574</v>
      </c>
      <c r="F497" s="467"/>
      <c r="G497" s="480" t="s">
        <v>174</v>
      </c>
      <c r="H497" s="474" t="s">
        <v>145</v>
      </c>
      <c r="I497" s="481" t="s">
        <v>163</v>
      </c>
      <c r="J497" s="481" t="s">
        <v>481</v>
      </c>
      <c r="K497" s="477"/>
      <c r="L497" s="892">
        <f>1.02*5340</f>
        <v>5446.8</v>
      </c>
      <c r="M497" s="508">
        <f t="shared" si="26"/>
        <v>6808.5</v>
      </c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</row>
    <row r="498" spans="1:228" s="6" customFormat="1" ht="33.75" customHeight="1">
      <c r="A498" s="421"/>
      <c r="B498" s="463" t="s">
        <v>1141</v>
      </c>
      <c r="C498" s="464" t="s">
        <v>96</v>
      </c>
      <c r="D498" s="465" t="s">
        <v>489</v>
      </c>
      <c r="E498" s="466" t="s">
        <v>351</v>
      </c>
      <c r="F498" s="467"/>
      <c r="G498" s="468" t="s">
        <v>490</v>
      </c>
      <c r="H498" s="469"/>
      <c r="I498" s="481" t="s">
        <v>151</v>
      </c>
      <c r="J498" s="481"/>
      <c r="K498" s="477"/>
      <c r="L498" s="892">
        <f>1.02*6920</f>
        <v>7058.4000000000005</v>
      </c>
      <c r="M498" s="508">
        <f t="shared" si="26"/>
        <v>8823</v>
      </c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4"/>
      <c r="HQ498" s="4"/>
      <c r="HR498" s="4"/>
      <c r="HS498" s="4"/>
      <c r="HT498" s="4"/>
    </row>
    <row r="499" spans="1:228" s="4" customFormat="1" ht="51" customHeight="1">
      <c r="A499" s="421"/>
      <c r="B499" s="463" t="s">
        <v>472</v>
      </c>
      <c r="C499" s="464" t="s">
        <v>92</v>
      </c>
      <c r="D499" s="465" t="s">
        <v>1660</v>
      </c>
      <c r="E499" s="466" t="s">
        <v>351</v>
      </c>
      <c r="F499" s="720"/>
      <c r="G499" s="480"/>
      <c r="H499" s="810"/>
      <c r="I499" s="481" t="s">
        <v>161</v>
      </c>
      <c r="J499" s="481"/>
      <c r="K499" s="706"/>
      <c r="L499" s="892">
        <f>1.02*4550</f>
        <v>4641</v>
      </c>
      <c r="M499" s="508">
        <f t="shared" si="26"/>
        <v>5801.25</v>
      </c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</row>
    <row r="500" spans="1:228" s="4" customFormat="1" ht="67.5" customHeight="1">
      <c r="A500" s="421"/>
      <c r="B500" s="463" t="s">
        <v>1142</v>
      </c>
      <c r="C500" s="529" t="s">
        <v>92</v>
      </c>
      <c r="D500" s="465" t="s">
        <v>1294</v>
      </c>
      <c r="E500" s="532" t="s">
        <v>1293</v>
      </c>
      <c r="F500" s="467"/>
      <c r="G500" s="480" t="s">
        <v>243</v>
      </c>
      <c r="H500" s="469"/>
      <c r="I500" s="481" t="s">
        <v>161</v>
      </c>
      <c r="J500" s="768" t="s">
        <v>1218</v>
      </c>
      <c r="K500" s="477"/>
      <c r="L500" s="892">
        <f>1.02*5580</f>
        <v>5691.6</v>
      </c>
      <c r="M500" s="508">
        <f t="shared" si="26"/>
        <v>7114.5</v>
      </c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6"/>
      <c r="HQ500" s="6"/>
      <c r="HR500" s="6"/>
      <c r="HS500" s="6"/>
      <c r="HT500" s="6"/>
    </row>
    <row r="501" spans="1:228" s="4" customFormat="1" ht="30" customHeight="1">
      <c r="A501" s="421"/>
      <c r="B501" s="484" t="s">
        <v>1403</v>
      </c>
      <c r="C501" s="464" t="s">
        <v>547</v>
      </c>
      <c r="D501" s="485" t="s">
        <v>1656</v>
      </c>
      <c r="E501" s="486" t="s">
        <v>1229</v>
      </c>
      <c r="F501" s="542" t="s">
        <v>1351</v>
      </c>
      <c r="G501" s="480" t="s">
        <v>1404</v>
      </c>
      <c r="H501" s="766" t="s">
        <v>145</v>
      </c>
      <c r="I501" s="481" t="s">
        <v>1405</v>
      </c>
      <c r="J501" s="481" t="s">
        <v>481</v>
      </c>
      <c r="K501" s="482"/>
      <c r="L501" s="892">
        <f>1.02*16800</f>
        <v>17136</v>
      </c>
      <c r="M501" s="508">
        <f t="shared" si="26"/>
        <v>21420</v>
      </c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</row>
    <row r="502" spans="1:228" s="42" customFormat="1" ht="23.25" customHeight="1">
      <c r="A502" s="421"/>
      <c r="B502" s="536"/>
      <c r="C502" s="537"/>
      <c r="D502" s="516" t="s">
        <v>104</v>
      </c>
      <c r="E502" s="536"/>
      <c r="F502" s="607"/>
      <c r="G502" s="503"/>
      <c r="H502" s="607"/>
      <c r="I502" s="504"/>
      <c r="J502" s="504"/>
      <c r="K502" s="519"/>
      <c r="L502" s="892"/>
      <c r="M502" s="677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</row>
    <row r="503" spans="1:228" s="10" customFormat="1" ht="22.5" customHeight="1">
      <c r="A503" s="421"/>
      <c r="B503" s="811" t="s">
        <v>1143</v>
      </c>
      <c r="C503" s="812" t="s">
        <v>96</v>
      </c>
      <c r="D503" s="813" t="s">
        <v>1661</v>
      </c>
      <c r="E503" s="814" t="s">
        <v>140</v>
      </c>
      <c r="F503" s="553"/>
      <c r="G503" s="815">
        <v>8188</v>
      </c>
      <c r="H503" s="555"/>
      <c r="I503" s="816" t="s">
        <v>151</v>
      </c>
      <c r="J503" s="738" t="s">
        <v>481</v>
      </c>
      <c r="K503" s="477"/>
      <c r="L503" s="892">
        <f>1.02*5840</f>
        <v>5956.8</v>
      </c>
      <c r="M503" s="678">
        <f>L503*1.25</f>
        <v>7446</v>
      </c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</row>
    <row r="504" spans="1:228" s="4" customFormat="1" ht="22.5" customHeight="1">
      <c r="A504" s="421"/>
      <c r="B504" s="489" t="s">
        <v>1144</v>
      </c>
      <c r="C504" s="490" t="s">
        <v>96</v>
      </c>
      <c r="D504" s="491" t="s">
        <v>1662</v>
      </c>
      <c r="E504" s="492" t="s">
        <v>98</v>
      </c>
      <c r="F504" s="525"/>
      <c r="G504" s="697" t="s">
        <v>230</v>
      </c>
      <c r="H504" s="817" t="s">
        <v>145</v>
      </c>
      <c r="I504" s="630" t="s">
        <v>166</v>
      </c>
      <c r="J504" s="630" t="s">
        <v>481</v>
      </c>
      <c r="K504" s="497"/>
      <c r="L504" s="892">
        <v>7500</v>
      </c>
      <c r="M504" s="498">
        <f>L504*1.25</f>
        <v>9375</v>
      </c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</row>
    <row r="505" spans="1:228" s="42" customFormat="1" ht="23.25" customHeight="1">
      <c r="A505" s="421"/>
      <c r="B505" s="536"/>
      <c r="C505" s="537"/>
      <c r="D505" s="516" t="s">
        <v>359</v>
      </c>
      <c r="E505" s="536"/>
      <c r="F505" s="607"/>
      <c r="G505" s="503"/>
      <c r="H505" s="607"/>
      <c r="I505" s="504"/>
      <c r="J505" s="504"/>
      <c r="K505" s="519"/>
      <c r="L505" s="892"/>
      <c r="M505" s="677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</row>
    <row r="506" spans="1:228" s="42" customFormat="1" ht="23.25" customHeight="1">
      <c r="A506" s="421"/>
      <c r="B506" s="484" t="s">
        <v>874</v>
      </c>
      <c r="C506" s="464" t="s">
        <v>96</v>
      </c>
      <c r="D506" s="465" t="s">
        <v>797</v>
      </c>
      <c r="E506" s="486" t="s">
        <v>27</v>
      </c>
      <c r="F506" s="467"/>
      <c r="G506" s="480" t="s">
        <v>220</v>
      </c>
      <c r="H506" s="469"/>
      <c r="I506" s="481" t="s">
        <v>237</v>
      </c>
      <c r="J506" s="481"/>
      <c r="K506" s="477"/>
      <c r="L506" s="892">
        <f>1.02*4580</f>
        <v>4671.6000000000004</v>
      </c>
      <c r="M506" s="678">
        <f>L506*1.25</f>
        <v>5839.5</v>
      </c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</row>
    <row r="507" spans="1:228" s="42" customFormat="1" ht="22.5" customHeight="1">
      <c r="A507" s="421"/>
      <c r="B507" s="463" t="s">
        <v>851</v>
      </c>
      <c r="C507" s="509" t="s">
        <v>96</v>
      </c>
      <c r="D507" s="465" t="s">
        <v>799</v>
      </c>
      <c r="E507" s="466" t="s">
        <v>27</v>
      </c>
      <c r="F507" s="603"/>
      <c r="G507" s="468" t="s">
        <v>169</v>
      </c>
      <c r="H507" s="474" t="s">
        <v>145</v>
      </c>
      <c r="I507" s="528" t="s">
        <v>149</v>
      </c>
      <c r="J507" s="528"/>
      <c r="K507" s="477"/>
      <c r="L507" s="892">
        <f>1.02*4530</f>
        <v>4620.6000000000004</v>
      </c>
      <c r="M507" s="678">
        <f>L507*1.25</f>
        <v>5775.75</v>
      </c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</row>
    <row r="508" spans="1:228" s="4" customFormat="1" ht="23.25">
      <c r="A508" s="421"/>
      <c r="B508" s="489" t="s">
        <v>837</v>
      </c>
      <c r="C508" s="490" t="s">
        <v>96</v>
      </c>
      <c r="D508" s="524" t="s">
        <v>798</v>
      </c>
      <c r="E508" s="492" t="s">
        <v>437</v>
      </c>
      <c r="F508" s="525"/>
      <c r="G508" s="494" t="s">
        <v>204</v>
      </c>
      <c r="H508" s="525"/>
      <c r="I508" s="496" t="s">
        <v>155</v>
      </c>
      <c r="J508" s="496"/>
      <c r="K508" s="496"/>
      <c r="L508" s="892">
        <v>4500</v>
      </c>
      <c r="M508" s="498">
        <f>L508*1.25</f>
        <v>5625</v>
      </c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</row>
    <row r="509" spans="1:228" s="4" customFormat="1" ht="23.25" customHeight="1">
      <c r="A509" s="421"/>
      <c r="B509" s="499"/>
      <c r="C509" s="818"/>
      <c r="D509" s="819" t="s">
        <v>131</v>
      </c>
      <c r="E509" s="502"/>
      <c r="F509" s="515"/>
      <c r="G509" s="820"/>
      <c r="H509" s="515"/>
      <c r="I509" s="821"/>
      <c r="J509" s="822"/>
      <c r="K509" s="823"/>
      <c r="L509" s="892"/>
      <c r="M509" s="677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</row>
    <row r="510" spans="1:228" s="4" customFormat="1" ht="23.25" customHeight="1">
      <c r="A510" s="421"/>
      <c r="B510" s="580" t="s">
        <v>108</v>
      </c>
      <c r="C510" s="824"/>
      <c r="D510" s="465" t="s">
        <v>795</v>
      </c>
      <c r="E510" s="825"/>
      <c r="F510" s="826"/>
      <c r="G510" s="827"/>
      <c r="H510" s="826"/>
      <c r="I510" s="828"/>
      <c r="J510" s="829"/>
      <c r="K510" s="829"/>
      <c r="L510" s="892">
        <v>50</v>
      </c>
      <c r="M510" s="678">
        <v>60</v>
      </c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</row>
    <row r="511" spans="1:228" s="4" customFormat="1" ht="38.25" customHeight="1">
      <c r="A511" s="421"/>
      <c r="B511" s="463" t="s">
        <v>796</v>
      </c>
      <c r="C511" s="464"/>
      <c r="D511" s="465" t="s">
        <v>663</v>
      </c>
      <c r="E511" s="466"/>
      <c r="F511" s="467"/>
      <c r="G511" s="468"/>
      <c r="H511" s="467"/>
      <c r="I511" s="477"/>
      <c r="J511" s="477"/>
      <c r="K511" s="477"/>
      <c r="L511" s="892">
        <v>180</v>
      </c>
      <c r="M511" s="678">
        <f>L511*1.25</f>
        <v>225</v>
      </c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</row>
    <row r="512" spans="1:228" s="4" customFormat="1" ht="33.75" customHeight="1">
      <c r="A512" s="421"/>
      <c r="B512" s="463" t="s">
        <v>794</v>
      </c>
      <c r="C512" s="464"/>
      <c r="D512" s="465" t="s">
        <v>793</v>
      </c>
      <c r="E512" s="466"/>
      <c r="F512" s="512"/>
      <c r="G512" s="468"/>
      <c r="H512" s="467"/>
      <c r="I512" s="477"/>
      <c r="J512" s="477"/>
      <c r="K512" s="477"/>
      <c r="L512" s="892">
        <v>60</v>
      </c>
      <c r="M512" s="678">
        <v>80</v>
      </c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</row>
    <row r="513" spans="1:227" s="4" customFormat="1" ht="38.25" customHeight="1">
      <c r="A513" s="421"/>
      <c r="B513" s="463" t="s">
        <v>15</v>
      </c>
      <c r="C513" s="464"/>
      <c r="D513" s="465" t="s">
        <v>134</v>
      </c>
      <c r="E513" s="464"/>
      <c r="F513" s="512"/>
      <c r="G513" s="830"/>
      <c r="H513" s="512"/>
      <c r="I513" s="477"/>
      <c r="J513" s="514"/>
      <c r="K513" s="514"/>
      <c r="L513" s="892">
        <v>100</v>
      </c>
      <c r="M513" s="678">
        <v>130</v>
      </c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</row>
    <row r="514" spans="1:227" s="4" customFormat="1" ht="41.25" customHeight="1">
      <c r="A514" s="421"/>
      <c r="B514" s="463"/>
      <c r="C514" s="464"/>
      <c r="D514" s="465" t="s">
        <v>3</v>
      </c>
      <c r="E514" s="464"/>
      <c r="F514" s="512"/>
      <c r="G514" s="830"/>
      <c r="H514" s="512"/>
      <c r="I514" s="477"/>
      <c r="J514" s="514"/>
      <c r="K514" s="514"/>
      <c r="L514" s="892">
        <f>1.02*3070</f>
        <v>3131.4</v>
      </c>
      <c r="M514" s="678">
        <f>L514*1.25</f>
        <v>3914.25</v>
      </c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</row>
    <row r="515" spans="1:227" s="4" customFormat="1" ht="39" customHeight="1">
      <c r="A515" s="421"/>
      <c r="B515" s="463" t="s">
        <v>1356</v>
      </c>
      <c r="C515" s="526"/>
      <c r="D515" s="831" t="s">
        <v>1357</v>
      </c>
      <c r="E515" s="466"/>
      <c r="F515" s="467"/>
      <c r="G515" s="468"/>
      <c r="H515" s="467"/>
      <c r="I515" s="477"/>
      <c r="J515" s="477"/>
      <c r="K515" s="477"/>
      <c r="L515" s="892">
        <v>430</v>
      </c>
      <c r="M515" s="678">
        <v>540</v>
      </c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</row>
    <row r="516" spans="1:227" s="4" customFormat="1" ht="39" customHeight="1">
      <c r="A516" s="421"/>
      <c r="B516" s="463"/>
      <c r="C516" s="526"/>
      <c r="D516" s="831" t="s">
        <v>1244</v>
      </c>
      <c r="E516" s="466"/>
      <c r="F516" s="467"/>
      <c r="G516" s="468"/>
      <c r="H516" s="467"/>
      <c r="I516" s="477"/>
      <c r="J516" s="477"/>
      <c r="K516" s="477"/>
      <c r="L516" s="892">
        <v>140</v>
      </c>
      <c r="M516" s="678">
        <v>180</v>
      </c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</row>
    <row r="517" spans="1:227" s="4" customFormat="1" ht="48.75" customHeight="1">
      <c r="A517" s="421"/>
      <c r="B517" s="463"/>
      <c r="C517" s="526"/>
      <c r="D517" s="831" t="s">
        <v>1245</v>
      </c>
      <c r="E517" s="466"/>
      <c r="F517" s="467"/>
      <c r="G517" s="468"/>
      <c r="H517" s="467"/>
      <c r="I517" s="477"/>
      <c r="J517" s="477"/>
      <c r="K517" s="477"/>
      <c r="L517" s="892">
        <v>180</v>
      </c>
      <c r="M517" s="678">
        <v>230</v>
      </c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</row>
    <row r="518" spans="1:227" s="4" customFormat="1" ht="27.75" customHeight="1">
      <c r="A518" s="421"/>
      <c r="B518" s="499"/>
      <c r="C518" s="818"/>
      <c r="D518" s="819" t="s">
        <v>132</v>
      </c>
      <c r="E518" s="502"/>
      <c r="F518" s="515"/>
      <c r="G518" s="820"/>
      <c r="H518" s="515"/>
      <c r="I518" s="821"/>
      <c r="J518" s="822"/>
      <c r="K518" s="823"/>
      <c r="L518" s="892"/>
      <c r="M518" s="677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</row>
    <row r="519" spans="1:227" s="4" customFormat="1" ht="60" customHeight="1">
      <c r="A519" s="421"/>
      <c r="B519" s="463" t="s">
        <v>1145</v>
      </c>
      <c r="C519" s="509" t="s">
        <v>92</v>
      </c>
      <c r="D519" s="465" t="s">
        <v>87</v>
      </c>
      <c r="E519" s="466"/>
      <c r="F519" s="603"/>
      <c r="G519" s="480" t="s">
        <v>243</v>
      </c>
      <c r="H519" s="603"/>
      <c r="I519" s="528" t="s">
        <v>247</v>
      </c>
      <c r="J519" s="528"/>
      <c r="K519" s="477"/>
      <c r="L519" s="892">
        <v>3180</v>
      </c>
      <c r="M519" s="678">
        <f>L519*1.25</f>
        <v>3975</v>
      </c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</row>
    <row r="520" spans="1:227" s="4" customFormat="1" ht="60" customHeight="1">
      <c r="A520" s="421"/>
      <c r="B520" s="463" t="s">
        <v>1146</v>
      </c>
      <c r="C520" s="509" t="s">
        <v>103</v>
      </c>
      <c r="D520" s="465" t="s">
        <v>88</v>
      </c>
      <c r="E520" s="466"/>
      <c r="F520" s="603"/>
      <c r="G520" s="682" t="s">
        <v>106</v>
      </c>
      <c r="H520" s="603"/>
      <c r="I520" s="528" t="s">
        <v>151</v>
      </c>
      <c r="J520" s="528"/>
      <c r="K520" s="477"/>
      <c r="L520" s="892">
        <v>2520</v>
      </c>
      <c r="M520" s="678">
        <f>L520*1.25</f>
        <v>3150</v>
      </c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</row>
    <row r="521" spans="1:227" s="4" customFormat="1" ht="60" customHeight="1">
      <c r="A521" s="421"/>
      <c r="B521" s="463" t="s">
        <v>1147</v>
      </c>
      <c r="C521" s="509" t="s">
        <v>103</v>
      </c>
      <c r="D521" s="465" t="s">
        <v>44</v>
      </c>
      <c r="E521" s="466"/>
      <c r="F521" s="467"/>
      <c r="G521" s="682" t="s">
        <v>106</v>
      </c>
      <c r="H521" s="603"/>
      <c r="I521" s="528" t="s">
        <v>151</v>
      </c>
      <c r="J521" s="528"/>
      <c r="K521" s="477"/>
      <c r="L521" s="892">
        <v>2520</v>
      </c>
      <c r="M521" s="678">
        <f>L521*1.25</f>
        <v>3150</v>
      </c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</row>
    <row r="522" spans="1:227" s="4" customFormat="1" ht="23.25" customHeight="1">
      <c r="A522" s="421"/>
      <c r="B522" s="416"/>
      <c r="C522" s="441"/>
      <c r="D522" s="442" t="s">
        <v>133</v>
      </c>
      <c r="E522" s="159"/>
      <c r="F522" s="173"/>
      <c r="G522" s="443"/>
      <c r="H522" s="173"/>
      <c r="I522" s="444"/>
      <c r="J522" s="444"/>
      <c r="K522" s="445"/>
      <c r="L522" s="901"/>
      <c r="M522" s="436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</row>
    <row r="523" spans="1:227" s="4" customFormat="1" ht="23.25" customHeight="1">
      <c r="A523" s="421"/>
      <c r="B523" s="405"/>
      <c r="C523" s="432"/>
      <c r="D523" s="422" t="s">
        <v>790</v>
      </c>
      <c r="E523" s="423"/>
      <c r="F523" s="95"/>
      <c r="G523" s="424"/>
      <c r="H523" s="95"/>
      <c r="I523" s="425" t="s">
        <v>356</v>
      </c>
      <c r="J523" s="426"/>
      <c r="K523" s="426"/>
      <c r="L523" s="901">
        <v>1240</v>
      </c>
      <c r="M523" s="437">
        <v>1550</v>
      </c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</row>
    <row r="524" spans="1:227" s="4" customFormat="1" ht="23.25" customHeight="1">
      <c r="A524" s="421"/>
      <c r="B524" s="405"/>
      <c r="C524" s="432"/>
      <c r="D524" s="422" t="s">
        <v>791</v>
      </c>
      <c r="E524" s="423"/>
      <c r="F524" s="94"/>
      <c r="G524" s="424"/>
      <c r="H524" s="200"/>
      <c r="I524" s="425" t="s">
        <v>356</v>
      </c>
      <c r="J524" s="425"/>
      <c r="K524" s="426"/>
      <c r="L524" s="901">
        <v>1550</v>
      </c>
      <c r="M524" s="437">
        <v>1940</v>
      </c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</row>
    <row r="525" spans="1:227" s="14" customFormat="1" ht="36.75" customHeight="1">
      <c r="A525" s="421"/>
      <c r="B525" s="427" t="s">
        <v>787</v>
      </c>
      <c r="C525" s="433"/>
      <c r="D525" s="428" t="s">
        <v>788</v>
      </c>
      <c r="E525" s="429"/>
      <c r="F525" s="379"/>
      <c r="G525" s="438"/>
      <c r="H525" s="379"/>
      <c r="I525" s="434" t="s">
        <v>151</v>
      </c>
      <c r="J525" s="446"/>
      <c r="K525" s="430"/>
      <c r="L525" s="901">
        <v>900</v>
      </c>
      <c r="M525" s="431">
        <f>L525*1.25</f>
        <v>1125</v>
      </c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</row>
    <row r="526" spans="1:227" s="14" customFormat="1" ht="23.25">
      <c r="A526" s="447"/>
      <c r="B526" s="448"/>
      <c r="C526" s="448"/>
      <c r="D526" s="449"/>
      <c r="E526" s="450"/>
      <c r="F526" s="451"/>
      <c r="G526" s="450"/>
      <c r="H526" s="452"/>
      <c r="I526" s="452"/>
      <c r="J526" s="452"/>
      <c r="K526" s="452"/>
      <c r="L526" s="902"/>
      <c r="M526" s="453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</row>
    <row r="527" spans="1:227" s="14" customFormat="1" ht="23.25">
      <c r="A527" s="447"/>
      <c r="B527" s="454"/>
      <c r="C527" s="454"/>
      <c r="D527" s="455"/>
      <c r="E527" s="456"/>
      <c r="F527" s="457"/>
      <c r="G527" s="456"/>
      <c r="H527" s="458"/>
      <c r="I527" s="458"/>
      <c r="J527" s="458"/>
      <c r="K527" s="458"/>
      <c r="L527" s="903">
        <v>4</v>
      </c>
      <c r="M527" s="459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</row>
    <row r="528" spans="1:227" s="14" customFormat="1" ht="23.25">
      <c r="A528" s="447"/>
      <c r="B528" s="454"/>
      <c r="C528" s="454"/>
      <c r="D528" s="455"/>
      <c r="E528" s="456"/>
      <c r="F528" s="457"/>
      <c r="G528" s="456"/>
      <c r="H528" s="458"/>
      <c r="I528" s="458"/>
      <c r="J528" s="458"/>
      <c r="K528" s="458"/>
      <c r="L528" s="903"/>
      <c r="M528" s="459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</row>
    <row r="529" spans="1:227" s="14" customFormat="1" ht="23.25">
      <c r="A529" s="447"/>
      <c r="B529" s="454"/>
      <c r="C529" s="454"/>
      <c r="D529" s="455"/>
      <c r="E529" s="456"/>
      <c r="F529" s="457"/>
      <c r="G529" s="456"/>
      <c r="H529" s="458"/>
      <c r="I529" s="458"/>
      <c r="J529" s="458"/>
      <c r="K529" s="458"/>
      <c r="L529" s="903"/>
      <c r="M529" s="459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</row>
    <row r="530" spans="1:227" s="14" customFormat="1" ht="23.25">
      <c r="A530" s="447"/>
      <c r="B530" s="454"/>
      <c r="C530" s="454"/>
      <c r="D530" s="455"/>
      <c r="E530" s="456"/>
      <c r="F530" s="457"/>
      <c r="G530" s="456"/>
      <c r="H530" s="458"/>
      <c r="I530" s="458"/>
      <c r="J530" s="458"/>
      <c r="K530" s="458"/>
      <c r="L530" s="903"/>
      <c r="M530" s="459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</row>
    <row r="531" spans="1:227" s="14" customFormat="1" ht="23.25">
      <c r="A531" s="447"/>
      <c r="B531" s="454"/>
      <c r="C531" s="454"/>
      <c r="D531" s="455"/>
      <c r="E531" s="456"/>
      <c r="F531" s="457"/>
      <c r="G531" s="456"/>
      <c r="H531" s="458"/>
      <c r="I531" s="458"/>
      <c r="J531" s="458"/>
      <c r="K531" s="458"/>
      <c r="L531" s="903"/>
      <c r="M531" s="459">
        <v>3959</v>
      </c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</row>
    <row r="532" spans="1:227" s="14" customFormat="1" ht="23.25">
      <c r="A532" s="447"/>
      <c r="B532" s="454"/>
      <c r="C532" s="454"/>
      <c r="D532" s="455"/>
      <c r="E532" s="456"/>
      <c r="F532" s="457"/>
      <c r="G532" s="456"/>
      <c r="H532" s="458"/>
      <c r="I532" s="458"/>
      <c r="J532" s="458"/>
      <c r="K532" s="458"/>
      <c r="L532" s="903"/>
      <c r="M532" s="459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</row>
    <row r="533" spans="1:227" s="14" customFormat="1" ht="23.25">
      <c r="A533" s="447"/>
      <c r="B533" s="454"/>
      <c r="C533" s="454"/>
      <c r="D533" s="455"/>
      <c r="E533" s="456"/>
      <c r="F533" s="457"/>
      <c r="G533" s="456"/>
      <c r="H533" s="458"/>
      <c r="I533" s="458"/>
      <c r="J533" s="458"/>
      <c r="K533" s="458"/>
      <c r="L533" s="903"/>
      <c r="M533" s="459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</row>
    <row r="534" spans="1:227" s="14" customFormat="1" ht="23.25">
      <c r="A534" s="447"/>
      <c r="B534" s="454"/>
      <c r="C534" s="454"/>
      <c r="D534" s="455"/>
      <c r="E534" s="447"/>
      <c r="F534" s="460"/>
      <c r="G534" s="447"/>
      <c r="H534" s="461"/>
      <c r="I534" s="461"/>
      <c r="J534" s="461"/>
      <c r="K534" s="461"/>
      <c r="L534" s="904"/>
      <c r="M534" s="459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</row>
    <row r="535" spans="1:227" s="14" customFormat="1" ht="23.25">
      <c r="A535" s="447"/>
      <c r="B535" s="454"/>
      <c r="C535" s="454"/>
      <c r="D535" s="455"/>
      <c r="E535" s="447"/>
      <c r="F535" s="460"/>
      <c r="G535" s="447"/>
      <c r="H535" s="461"/>
      <c r="I535" s="461"/>
      <c r="J535" s="461"/>
      <c r="K535" s="461"/>
      <c r="L535" s="904"/>
      <c r="M535" s="459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</row>
    <row r="536" spans="1:227" s="14" customFormat="1" ht="23.25">
      <c r="A536" s="447"/>
      <c r="B536" s="454"/>
      <c r="C536" s="454"/>
      <c r="D536" s="455"/>
      <c r="E536" s="447"/>
      <c r="F536" s="460"/>
      <c r="G536" s="447"/>
      <c r="H536" s="461"/>
      <c r="I536" s="461"/>
      <c r="J536" s="461"/>
      <c r="K536" s="461"/>
      <c r="L536" s="904"/>
      <c r="M536" s="459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</row>
    <row r="537" spans="1:227" s="14" customFormat="1" ht="23.25">
      <c r="A537" s="447"/>
      <c r="B537" s="454"/>
      <c r="C537" s="454"/>
      <c r="D537" s="455"/>
      <c r="E537" s="447"/>
      <c r="F537" s="460"/>
      <c r="G537" s="447"/>
      <c r="H537" s="461"/>
      <c r="I537" s="461"/>
      <c r="J537" s="461"/>
      <c r="K537" s="461"/>
      <c r="L537" s="904"/>
      <c r="M537" s="459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</row>
    <row r="538" spans="1:227" s="14" customFormat="1" ht="23.25">
      <c r="A538" s="447"/>
      <c r="B538" s="454"/>
      <c r="C538" s="454"/>
      <c r="D538" s="455"/>
      <c r="E538" s="447"/>
      <c r="F538" s="460"/>
      <c r="G538" s="447"/>
      <c r="H538" s="461"/>
      <c r="I538" s="461"/>
      <c r="J538" s="461"/>
      <c r="K538" s="461"/>
      <c r="L538" s="904"/>
      <c r="M538" s="459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</row>
    <row r="539" spans="1:227" s="14" customFormat="1" ht="23.25">
      <c r="A539" s="447"/>
      <c r="B539" s="454"/>
      <c r="C539" s="454"/>
      <c r="D539" s="455"/>
      <c r="E539" s="447"/>
      <c r="F539" s="460"/>
      <c r="G539" s="447"/>
      <c r="H539" s="461"/>
      <c r="I539" s="462"/>
      <c r="J539" s="461"/>
      <c r="K539" s="461"/>
      <c r="L539" s="904"/>
      <c r="M539" s="459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</row>
    <row r="540" spans="1:227" s="14" customFormat="1" ht="23.25">
      <c r="A540" s="447"/>
      <c r="B540" s="454"/>
      <c r="C540" s="454"/>
      <c r="D540" s="455"/>
      <c r="E540" s="447"/>
      <c r="F540" s="460"/>
      <c r="G540" s="447"/>
      <c r="H540" s="461"/>
      <c r="I540" s="461"/>
      <c r="J540" s="461"/>
      <c r="K540" s="461"/>
      <c r="L540" s="904"/>
      <c r="M540" s="459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</row>
    <row r="541" spans="1:227" s="14" customFormat="1" ht="23.25">
      <c r="A541" s="447"/>
      <c r="B541" s="454"/>
      <c r="C541" s="454"/>
      <c r="D541" s="455"/>
      <c r="E541" s="447"/>
      <c r="F541" s="460"/>
      <c r="G541" s="447"/>
      <c r="H541" s="461"/>
      <c r="I541" s="461"/>
      <c r="J541" s="461"/>
      <c r="K541" s="461"/>
      <c r="L541" s="904"/>
      <c r="M541" s="459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</row>
    <row r="542" spans="1:227" s="14" customFormat="1" ht="23.25">
      <c r="A542" s="447"/>
      <c r="B542" s="454"/>
      <c r="C542" s="454"/>
      <c r="D542" s="455"/>
      <c r="E542" s="447"/>
      <c r="F542" s="460"/>
      <c r="G542" s="447"/>
      <c r="H542" s="461"/>
      <c r="I542" s="461"/>
      <c r="J542" s="461"/>
      <c r="K542" s="461"/>
      <c r="L542" s="904"/>
      <c r="M542" s="459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</row>
    <row r="543" spans="1:227" s="14" customFormat="1" ht="23.25">
      <c r="A543" s="447"/>
      <c r="B543" s="454"/>
      <c r="C543" s="454"/>
      <c r="D543" s="455"/>
      <c r="E543" s="447"/>
      <c r="F543" s="460"/>
      <c r="G543" s="447"/>
      <c r="H543" s="461"/>
      <c r="I543" s="461"/>
      <c r="J543" s="461"/>
      <c r="K543" s="461"/>
      <c r="L543" s="904"/>
      <c r="M543" s="459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</row>
    <row r="544" spans="1:227" s="14" customFormat="1" ht="23.25">
      <c r="A544" s="447"/>
      <c r="B544" s="454"/>
      <c r="C544" s="454"/>
      <c r="D544" s="455"/>
      <c r="E544" s="447"/>
      <c r="F544" s="460"/>
      <c r="G544" s="447"/>
      <c r="H544" s="461"/>
      <c r="I544" s="461"/>
      <c r="J544" s="461"/>
      <c r="K544" s="461"/>
      <c r="L544" s="904"/>
      <c r="M544" s="459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</row>
    <row r="545" spans="1:227" s="14" customFormat="1" ht="23.25">
      <c r="A545" s="447"/>
      <c r="B545" s="454"/>
      <c r="C545" s="454"/>
      <c r="D545" s="455"/>
      <c r="E545" s="447"/>
      <c r="F545" s="460"/>
      <c r="G545" s="447"/>
      <c r="H545" s="461"/>
      <c r="I545" s="461"/>
      <c r="J545" s="461"/>
      <c r="K545" s="461"/>
      <c r="L545" s="904"/>
      <c r="M545" s="459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</row>
    <row r="546" spans="1:227" s="14" customFormat="1" ht="23.25">
      <c r="A546" s="447"/>
      <c r="B546" s="454"/>
      <c r="C546" s="454"/>
      <c r="D546" s="455"/>
      <c r="E546" s="447"/>
      <c r="F546" s="460"/>
      <c r="G546" s="447"/>
      <c r="H546" s="461"/>
      <c r="I546" s="461"/>
      <c r="J546" s="461"/>
      <c r="K546" s="461"/>
      <c r="L546" s="904"/>
      <c r="M546" s="459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</row>
    <row r="547" spans="1:227" s="14" customFormat="1" ht="23.25">
      <c r="A547" s="447"/>
      <c r="B547" s="454"/>
      <c r="C547" s="454"/>
      <c r="D547" s="455"/>
      <c r="E547" s="447"/>
      <c r="F547" s="460"/>
      <c r="G547" s="447"/>
      <c r="H547" s="461"/>
      <c r="I547" s="461"/>
      <c r="J547" s="461"/>
      <c r="K547" s="461"/>
      <c r="L547" s="904"/>
      <c r="M547" s="459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</row>
    <row r="548" spans="1:227" s="14" customFormat="1" ht="23.25">
      <c r="A548" s="447"/>
      <c r="B548" s="454"/>
      <c r="C548" s="454"/>
      <c r="D548" s="455"/>
      <c r="E548" s="447"/>
      <c r="F548" s="460"/>
      <c r="G548" s="447"/>
      <c r="H548" s="461"/>
      <c r="I548" s="461"/>
      <c r="J548" s="461"/>
      <c r="K548" s="461"/>
      <c r="L548" s="904"/>
      <c r="M548" s="459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</row>
    <row r="549" spans="1:227" s="14" customFormat="1" ht="23.25">
      <c r="A549" s="447"/>
      <c r="B549" s="454"/>
      <c r="C549" s="454"/>
      <c r="D549" s="455"/>
      <c r="E549" s="447"/>
      <c r="F549" s="460"/>
      <c r="G549" s="447"/>
      <c r="H549" s="461"/>
      <c r="I549" s="461"/>
      <c r="J549" s="461"/>
      <c r="K549" s="461"/>
      <c r="L549" s="904"/>
      <c r="M549" s="459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</row>
    <row r="550" spans="1:227" s="14" customFormat="1" ht="23.25">
      <c r="A550" s="447"/>
      <c r="B550" s="454"/>
      <c r="C550" s="454"/>
      <c r="D550" s="455"/>
      <c r="E550" s="447"/>
      <c r="F550" s="460"/>
      <c r="G550" s="447"/>
      <c r="H550" s="461"/>
      <c r="I550" s="461"/>
      <c r="J550" s="461"/>
      <c r="K550" s="461"/>
      <c r="L550" s="904"/>
      <c r="M550" s="459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</row>
    <row r="551" spans="1:227" s="14" customFormat="1" ht="23.25">
      <c r="A551" s="447"/>
      <c r="B551" s="454"/>
      <c r="C551" s="454"/>
      <c r="D551" s="455"/>
      <c r="E551" s="447"/>
      <c r="F551" s="460"/>
      <c r="G551" s="447"/>
      <c r="H551" s="461"/>
      <c r="I551" s="461"/>
      <c r="J551" s="461"/>
      <c r="K551" s="461"/>
      <c r="L551" s="904"/>
      <c r="M551" s="459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</row>
    <row r="552" spans="1:227" s="14" customFormat="1" ht="23.25">
      <c r="A552" s="447"/>
      <c r="B552" s="454"/>
      <c r="C552" s="454"/>
      <c r="D552" s="455"/>
      <c r="E552" s="447"/>
      <c r="F552" s="460"/>
      <c r="G552" s="447"/>
      <c r="H552" s="461"/>
      <c r="I552" s="461"/>
      <c r="J552" s="461"/>
      <c r="K552" s="461"/>
      <c r="L552" s="904"/>
      <c r="M552" s="459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</row>
    <row r="553" spans="1:227" s="14" customFormat="1" ht="23.25">
      <c r="A553" s="447"/>
      <c r="B553" s="454"/>
      <c r="C553" s="454"/>
      <c r="D553" s="455"/>
      <c r="E553" s="447"/>
      <c r="F553" s="460"/>
      <c r="G553" s="447"/>
      <c r="H553" s="461"/>
      <c r="I553" s="461"/>
      <c r="J553" s="461"/>
      <c r="K553" s="461"/>
      <c r="L553" s="904"/>
      <c r="M553" s="459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</row>
    <row r="554" spans="1:227" s="14" customFormat="1" ht="23.25">
      <c r="A554" s="447"/>
      <c r="B554" s="454"/>
      <c r="C554" s="454"/>
      <c r="D554" s="455"/>
      <c r="E554" s="447"/>
      <c r="F554" s="460"/>
      <c r="G554" s="447"/>
      <c r="H554" s="461"/>
      <c r="I554" s="461"/>
      <c r="J554" s="461"/>
      <c r="K554" s="461"/>
      <c r="L554" s="904"/>
      <c r="M554" s="459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</row>
    <row r="555" spans="1:227" s="14" customFormat="1" ht="23.25">
      <c r="A555" s="447"/>
      <c r="B555" s="454"/>
      <c r="C555" s="454"/>
      <c r="D555" s="455"/>
      <c r="E555" s="447"/>
      <c r="F555" s="460"/>
      <c r="G555" s="447"/>
      <c r="H555" s="461"/>
      <c r="I555" s="461"/>
      <c r="J555" s="461"/>
      <c r="K555" s="461"/>
      <c r="L555" s="904"/>
      <c r="M555" s="459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</row>
    <row r="556" spans="1:227" s="14" customFormat="1" ht="23.25">
      <c r="A556" s="447"/>
      <c r="B556" s="454"/>
      <c r="C556" s="454"/>
      <c r="D556" s="455"/>
      <c r="E556" s="447"/>
      <c r="F556" s="460"/>
      <c r="G556" s="447"/>
      <c r="H556" s="461"/>
      <c r="I556" s="461"/>
      <c r="J556" s="461"/>
      <c r="K556" s="461"/>
      <c r="L556" s="904"/>
      <c r="M556" s="459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</row>
    <row r="557" spans="1:227" s="14" customFormat="1" ht="23.25">
      <c r="A557" s="447"/>
      <c r="B557" s="454"/>
      <c r="C557" s="454"/>
      <c r="D557" s="455"/>
      <c r="E557" s="447"/>
      <c r="F557" s="460"/>
      <c r="G557" s="447"/>
      <c r="H557" s="461"/>
      <c r="I557" s="461"/>
      <c r="J557" s="461"/>
      <c r="K557" s="461"/>
      <c r="L557" s="904"/>
      <c r="M557" s="459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</row>
    <row r="558" spans="1:227" s="14" customFormat="1" ht="23.25">
      <c r="A558" s="447"/>
      <c r="B558" s="454"/>
      <c r="C558" s="454"/>
      <c r="D558" s="455"/>
      <c r="E558" s="447"/>
      <c r="F558" s="460"/>
      <c r="G558" s="447"/>
      <c r="H558" s="461"/>
      <c r="I558" s="461"/>
      <c r="J558" s="461"/>
      <c r="K558" s="461"/>
      <c r="L558" s="904"/>
      <c r="M558" s="459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</row>
    <row r="559" spans="1:227" s="14" customFormat="1">
      <c r="A559" s="21"/>
      <c r="B559" s="61"/>
      <c r="C559" s="61"/>
      <c r="D559" s="236"/>
      <c r="E559" s="9"/>
      <c r="F559" s="49"/>
      <c r="G559" s="9"/>
      <c r="H559" s="62"/>
      <c r="I559" s="62"/>
      <c r="J559" s="62"/>
      <c r="K559" s="62"/>
      <c r="L559" s="905"/>
      <c r="M559" s="220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</row>
    <row r="560" spans="1:227" s="14" customFormat="1">
      <c r="A560" s="21"/>
      <c r="B560" s="61"/>
      <c r="C560" s="61"/>
      <c r="D560" s="236"/>
      <c r="E560" s="9"/>
      <c r="F560" s="49"/>
      <c r="G560" s="9"/>
      <c r="H560" s="62"/>
      <c r="I560" s="62"/>
      <c r="J560" s="62"/>
      <c r="K560" s="62"/>
      <c r="L560" s="905"/>
      <c r="M560" s="220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</row>
    <row r="561" spans="1:227" s="14" customFormat="1">
      <c r="A561" s="21"/>
      <c r="B561" s="61"/>
      <c r="C561" s="61"/>
      <c r="D561" s="236"/>
      <c r="E561" s="9"/>
      <c r="F561" s="49"/>
      <c r="G561" s="9"/>
      <c r="H561" s="62"/>
      <c r="I561" s="62"/>
      <c r="J561" s="62"/>
      <c r="K561" s="62"/>
      <c r="L561" s="905"/>
      <c r="M561" s="220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</row>
    <row r="562" spans="1:227" s="14" customFormat="1">
      <c r="A562" s="21"/>
      <c r="B562" s="61"/>
      <c r="C562" s="61"/>
      <c r="D562" s="236"/>
      <c r="E562" s="9"/>
      <c r="F562" s="49"/>
      <c r="G562" s="9"/>
      <c r="H562" s="62"/>
      <c r="I562" s="62"/>
      <c r="J562" s="62"/>
      <c r="K562" s="62"/>
      <c r="L562" s="905"/>
      <c r="M562" s="220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</row>
    <row r="563" spans="1:227" s="14" customFormat="1">
      <c r="A563" s="21"/>
      <c r="B563" s="61"/>
      <c r="C563" s="61"/>
      <c r="D563" s="236"/>
      <c r="E563" s="9"/>
      <c r="F563" s="49"/>
      <c r="G563" s="9"/>
      <c r="H563" s="62"/>
      <c r="I563" s="62"/>
      <c r="J563" s="62"/>
      <c r="K563" s="62"/>
      <c r="L563" s="905"/>
      <c r="M563" s="220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</row>
    <row r="564" spans="1:227" s="14" customFormat="1">
      <c r="A564" s="21"/>
      <c r="B564" s="61"/>
      <c r="C564" s="61"/>
      <c r="D564" s="236"/>
      <c r="E564" s="9"/>
      <c r="F564" s="49"/>
      <c r="G564" s="9"/>
      <c r="H564" s="62"/>
      <c r="I564" s="62"/>
      <c r="J564" s="62"/>
      <c r="K564" s="62"/>
      <c r="L564" s="905"/>
      <c r="M564" s="220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</row>
    <row r="565" spans="1:227" s="14" customFormat="1">
      <c r="A565" s="21"/>
      <c r="B565" s="61"/>
      <c r="C565" s="61"/>
      <c r="D565" s="236"/>
      <c r="E565" s="9"/>
      <c r="F565" s="49"/>
      <c r="G565" s="9"/>
      <c r="H565" s="62"/>
      <c r="I565" s="62"/>
      <c r="J565" s="62"/>
      <c r="K565" s="62"/>
      <c r="L565" s="905"/>
      <c r="M565" s="220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</row>
    <row r="566" spans="1:227" s="14" customFormat="1">
      <c r="A566" s="21"/>
      <c r="B566" s="61"/>
      <c r="C566" s="61"/>
      <c r="D566" s="236"/>
      <c r="E566" s="9"/>
      <c r="F566" s="49"/>
      <c r="G566" s="9"/>
      <c r="H566" s="62"/>
      <c r="I566" s="62"/>
      <c r="J566" s="62"/>
      <c r="K566" s="62"/>
      <c r="L566" s="905"/>
      <c r="M566" s="220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</row>
    <row r="567" spans="1:227" s="14" customFormat="1">
      <c r="A567" s="21"/>
      <c r="B567" s="61"/>
      <c r="C567" s="61"/>
      <c r="D567" s="236"/>
      <c r="E567" s="9"/>
      <c r="F567" s="49"/>
      <c r="G567" s="9"/>
      <c r="H567" s="62"/>
      <c r="I567" s="62"/>
      <c r="J567" s="62"/>
      <c r="K567" s="62"/>
      <c r="L567" s="905"/>
      <c r="M567" s="220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</row>
    <row r="568" spans="1:227" s="14" customFormat="1">
      <c r="A568" s="21"/>
      <c r="B568" s="61"/>
      <c r="C568" s="61"/>
      <c r="D568" s="236"/>
      <c r="E568" s="9"/>
      <c r="F568" s="49"/>
      <c r="G568" s="9"/>
      <c r="H568" s="62"/>
      <c r="I568" s="62"/>
      <c r="J568" s="62"/>
      <c r="K568" s="62"/>
      <c r="L568" s="905"/>
      <c r="M568" s="220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</row>
    <row r="569" spans="1:227" s="14" customFormat="1">
      <c r="A569" s="21"/>
      <c r="B569" s="61"/>
      <c r="C569" s="61"/>
      <c r="D569" s="236"/>
      <c r="E569" s="9"/>
      <c r="F569" s="49"/>
      <c r="G569" s="9"/>
      <c r="H569" s="62"/>
      <c r="I569" s="62"/>
      <c r="J569" s="62"/>
      <c r="K569" s="62"/>
      <c r="L569" s="905"/>
      <c r="M569" s="220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</row>
    <row r="570" spans="1:227" s="14" customFormat="1">
      <c r="A570" s="21"/>
      <c r="B570" s="61"/>
      <c r="C570" s="61"/>
      <c r="D570" s="236"/>
      <c r="E570" s="9"/>
      <c r="F570" s="49"/>
      <c r="G570" s="9"/>
      <c r="H570" s="62"/>
      <c r="I570" s="62"/>
      <c r="J570" s="62"/>
      <c r="K570" s="62"/>
      <c r="L570" s="905"/>
      <c r="M570" s="220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</row>
    <row r="571" spans="1:227" s="14" customFormat="1">
      <c r="A571" s="21"/>
      <c r="B571" s="61"/>
      <c r="C571" s="61"/>
      <c r="D571" s="236"/>
      <c r="E571" s="9"/>
      <c r="F571" s="49"/>
      <c r="G571" s="9"/>
      <c r="H571" s="62"/>
      <c r="I571" s="62"/>
      <c r="J571" s="62"/>
      <c r="K571" s="62"/>
      <c r="L571" s="905"/>
      <c r="M571" s="220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</row>
    <row r="572" spans="1:227" s="14" customFormat="1">
      <c r="A572" s="21"/>
      <c r="B572" s="61"/>
      <c r="C572" s="61"/>
      <c r="D572" s="236"/>
      <c r="E572" s="9"/>
      <c r="F572" s="49"/>
      <c r="G572" s="9"/>
      <c r="H572" s="62"/>
      <c r="I572" s="62"/>
      <c r="J572" s="62"/>
      <c r="K572" s="62"/>
      <c r="L572" s="905"/>
      <c r="M572" s="220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</row>
    <row r="573" spans="1:227" s="14" customFormat="1">
      <c r="A573" s="21"/>
      <c r="B573" s="61"/>
      <c r="C573" s="61"/>
      <c r="D573" s="236"/>
      <c r="E573" s="9"/>
      <c r="F573" s="49"/>
      <c r="G573" s="9"/>
      <c r="H573" s="62"/>
      <c r="I573" s="62"/>
      <c r="J573" s="62"/>
      <c r="K573" s="62"/>
      <c r="L573" s="905"/>
      <c r="M573" s="220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</row>
    <row r="574" spans="1:227" s="14" customFormat="1">
      <c r="A574" s="21"/>
      <c r="B574" s="61"/>
      <c r="C574" s="61"/>
      <c r="D574" s="236"/>
      <c r="E574" s="9"/>
      <c r="F574" s="49"/>
      <c r="G574" s="9"/>
      <c r="H574" s="62"/>
      <c r="I574" s="62"/>
      <c r="J574" s="62"/>
      <c r="K574" s="62"/>
      <c r="L574" s="905"/>
      <c r="M574" s="220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</row>
    <row r="575" spans="1:227" s="14" customFormat="1">
      <c r="A575" s="21"/>
      <c r="B575" s="61"/>
      <c r="C575" s="61"/>
      <c r="D575" s="236"/>
      <c r="E575" s="9"/>
      <c r="F575" s="49"/>
      <c r="G575" s="9"/>
      <c r="H575" s="62"/>
      <c r="I575" s="62"/>
      <c r="J575" s="62"/>
      <c r="K575" s="62"/>
      <c r="L575" s="905"/>
      <c r="M575" s="220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</row>
    <row r="576" spans="1:227" s="14" customFormat="1">
      <c r="A576" s="21"/>
      <c r="B576" s="61"/>
      <c r="C576" s="61"/>
      <c r="D576" s="236"/>
      <c r="E576" s="9"/>
      <c r="F576" s="49"/>
      <c r="G576" s="9"/>
      <c r="H576" s="62"/>
      <c r="I576" s="62"/>
      <c r="J576" s="62"/>
      <c r="K576" s="62"/>
      <c r="L576" s="905"/>
      <c r="M576" s="220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</row>
    <row r="577" spans="1:227" s="14" customFormat="1">
      <c r="A577" s="21"/>
      <c r="B577" s="61"/>
      <c r="C577" s="61"/>
      <c r="D577" s="236"/>
      <c r="E577" s="9"/>
      <c r="F577" s="49"/>
      <c r="G577" s="9"/>
      <c r="H577" s="62"/>
      <c r="I577" s="62"/>
      <c r="J577" s="62"/>
      <c r="K577" s="62"/>
      <c r="L577" s="905"/>
      <c r="M577" s="220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</row>
    <row r="578" spans="1:227" s="14" customFormat="1">
      <c r="A578" s="21"/>
      <c r="B578" s="61"/>
      <c r="C578" s="61"/>
      <c r="D578" s="236"/>
      <c r="E578" s="9"/>
      <c r="F578" s="49"/>
      <c r="G578" s="9"/>
      <c r="H578" s="62"/>
      <c r="I578" s="62"/>
      <c r="J578" s="62"/>
      <c r="K578" s="62"/>
      <c r="L578" s="905"/>
      <c r="M578" s="220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</row>
    <row r="579" spans="1:227" s="14" customFormat="1">
      <c r="A579" s="21"/>
      <c r="B579" s="61"/>
      <c r="C579" s="61"/>
      <c r="D579" s="236"/>
      <c r="E579" s="9"/>
      <c r="F579" s="49"/>
      <c r="G579" s="9"/>
      <c r="H579" s="62"/>
      <c r="I579" s="62"/>
      <c r="J579" s="62"/>
      <c r="K579" s="62"/>
      <c r="L579" s="905"/>
      <c r="M579" s="220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</row>
    <row r="580" spans="1:227" s="14" customFormat="1">
      <c r="A580" s="21"/>
      <c r="B580" s="61"/>
      <c r="C580" s="61"/>
      <c r="D580" s="236"/>
      <c r="E580" s="9"/>
      <c r="F580" s="49"/>
      <c r="G580" s="9"/>
      <c r="H580" s="62"/>
      <c r="I580" s="62"/>
      <c r="J580" s="62"/>
      <c r="K580" s="62"/>
      <c r="L580" s="905"/>
      <c r="M580" s="220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</row>
    <row r="581" spans="1:227" s="14" customFormat="1">
      <c r="A581" s="21"/>
      <c r="B581" s="61"/>
      <c r="C581" s="61"/>
      <c r="D581" s="236"/>
      <c r="E581" s="9"/>
      <c r="F581" s="49"/>
      <c r="G581" s="9"/>
      <c r="H581" s="62"/>
      <c r="I581" s="62"/>
      <c r="J581" s="62"/>
      <c r="K581" s="62"/>
      <c r="L581" s="905"/>
      <c r="M581" s="220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</row>
    <row r="582" spans="1:227" s="14" customFormat="1">
      <c r="A582" s="21"/>
      <c r="B582" s="61"/>
      <c r="C582" s="61"/>
      <c r="D582" s="236"/>
      <c r="E582" s="9"/>
      <c r="F582" s="49"/>
      <c r="G582" s="9"/>
      <c r="H582" s="62"/>
      <c r="I582" s="62"/>
      <c r="J582" s="62"/>
      <c r="K582" s="62"/>
      <c r="L582" s="905"/>
      <c r="M582" s="220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</row>
    <row r="583" spans="1:227" s="14" customFormat="1">
      <c r="A583" s="21"/>
      <c r="B583" s="61"/>
      <c r="C583" s="61"/>
      <c r="D583" s="236"/>
      <c r="E583" s="9"/>
      <c r="F583" s="49"/>
      <c r="G583" s="9"/>
      <c r="H583" s="62"/>
      <c r="I583" s="62"/>
      <c r="J583" s="62"/>
      <c r="K583" s="62"/>
      <c r="L583" s="905"/>
      <c r="M583" s="220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</row>
    <row r="584" spans="1:227" s="14" customFormat="1">
      <c r="A584" s="21"/>
      <c r="B584" s="61"/>
      <c r="C584" s="61"/>
      <c r="D584" s="236"/>
      <c r="E584" s="9"/>
      <c r="F584" s="49"/>
      <c r="G584" s="9"/>
      <c r="H584" s="62"/>
      <c r="I584" s="62"/>
      <c r="J584" s="62"/>
      <c r="K584" s="62"/>
      <c r="L584" s="905"/>
      <c r="M584" s="220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</row>
    <row r="585" spans="1:227" s="14" customFormat="1">
      <c r="A585" s="21"/>
      <c r="B585" s="61"/>
      <c r="C585" s="61"/>
      <c r="D585" s="236"/>
      <c r="E585" s="9"/>
      <c r="F585" s="49"/>
      <c r="G585" s="9"/>
      <c r="H585" s="62"/>
      <c r="I585" s="62"/>
      <c r="J585" s="62"/>
      <c r="K585" s="62"/>
      <c r="L585" s="905"/>
      <c r="M585" s="220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</row>
    <row r="586" spans="1:227" s="14" customFormat="1">
      <c r="A586" s="21"/>
      <c r="B586" s="61"/>
      <c r="C586" s="61"/>
      <c r="D586" s="236"/>
      <c r="E586" s="9"/>
      <c r="F586" s="49"/>
      <c r="G586" s="9"/>
      <c r="H586" s="62"/>
      <c r="I586" s="62"/>
      <c r="J586" s="62"/>
      <c r="K586" s="62"/>
      <c r="L586" s="905"/>
      <c r="M586" s="220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</row>
    <row r="587" spans="1:227" s="14" customFormat="1">
      <c r="A587" s="21"/>
      <c r="B587" s="61"/>
      <c r="C587" s="61"/>
      <c r="D587" s="236"/>
      <c r="E587" s="9"/>
      <c r="F587" s="49"/>
      <c r="G587" s="9"/>
      <c r="H587" s="62"/>
      <c r="I587" s="62"/>
      <c r="J587" s="62"/>
      <c r="K587" s="62"/>
      <c r="L587" s="905"/>
      <c r="M587" s="220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</row>
    <row r="588" spans="1:227" s="14" customFormat="1">
      <c r="A588" s="21"/>
      <c r="B588" s="61"/>
      <c r="C588" s="61"/>
      <c r="D588" s="236"/>
      <c r="E588" s="9"/>
      <c r="F588" s="49"/>
      <c r="G588" s="9"/>
      <c r="H588" s="62"/>
      <c r="I588" s="62"/>
      <c r="J588" s="62"/>
      <c r="K588" s="62"/>
      <c r="L588" s="905"/>
      <c r="M588" s="220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</row>
    <row r="589" spans="1:227" s="14" customFormat="1">
      <c r="A589" s="21"/>
      <c r="B589" s="61"/>
      <c r="C589" s="61"/>
      <c r="D589" s="236"/>
      <c r="E589" s="9"/>
      <c r="F589" s="49"/>
      <c r="G589" s="9"/>
      <c r="H589" s="62"/>
      <c r="I589" s="62"/>
      <c r="J589" s="62"/>
      <c r="K589" s="62"/>
      <c r="L589" s="905"/>
      <c r="M589" s="220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</row>
    <row r="590" spans="1:227" s="14" customFormat="1">
      <c r="A590" s="21"/>
      <c r="B590" s="61"/>
      <c r="C590" s="61"/>
      <c r="D590" s="236"/>
      <c r="E590" s="9"/>
      <c r="F590" s="49"/>
      <c r="G590" s="9"/>
      <c r="H590" s="62"/>
      <c r="I590" s="62"/>
      <c r="J590" s="62"/>
      <c r="K590" s="62"/>
      <c r="L590" s="905"/>
      <c r="M590" s="220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</row>
    <row r="591" spans="1:227" s="14" customFormat="1">
      <c r="A591" s="21"/>
      <c r="B591" s="61"/>
      <c r="C591" s="61"/>
      <c r="D591" s="236"/>
      <c r="E591" s="9"/>
      <c r="F591" s="49"/>
      <c r="G591" s="9"/>
      <c r="H591" s="62"/>
      <c r="I591" s="62"/>
      <c r="J591" s="62"/>
      <c r="K591" s="62"/>
      <c r="L591" s="905"/>
      <c r="M591" s="220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</row>
    <row r="592" spans="1:227" s="14" customFormat="1">
      <c r="A592" s="21"/>
      <c r="B592" s="61"/>
      <c r="C592" s="61"/>
      <c r="D592" s="236"/>
      <c r="E592" s="9"/>
      <c r="F592" s="49"/>
      <c r="G592" s="9"/>
      <c r="H592" s="62"/>
      <c r="I592" s="62"/>
      <c r="J592" s="62"/>
      <c r="K592" s="62"/>
      <c r="L592" s="905"/>
      <c r="M592" s="220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</row>
    <row r="593" spans="1:227" s="14" customFormat="1">
      <c r="A593" s="21"/>
      <c r="B593" s="61"/>
      <c r="C593" s="61"/>
      <c r="D593" s="236"/>
      <c r="E593" s="9"/>
      <c r="F593" s="49"/>
      <c r="G593" s="9"/>
      <c r="H593" s="62"/>
      <c r="I593" s="62"/>
      <c r="J593" s="62"/>
      <c r="K593" s="62"/>
      <c r="L593" s="905"/>
      <c r="M593" s="220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</row>
    <row r="594" spans="1:227" s="14" customFormat="1">
      <c r="A594" s="21"/>
      <c r="B594" s="61"/>
      <c r="C594" s="61"/>
      <c r="D594" s="236"/>
      <c r="E594" s="9"/>
      <c r="F594" s="49"/>
      <c r="G594" s="9"/>
      <c r="H594" s="62"/>
      <c r="I594" s="62"/>
      <c r="J594" s="62"/>
      <c r="K594" s="62"/>
      <c r="L594" s="905"/>
      <c r="M594" s="220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</row>
    <row r="595" spans="1:227" s="14" customFormat="1">
      <c r="A595" s="21"/>
      <c r="B595" s="61"/>
      <c r="C595" s="61"/>
      <c r="D595" s="236"/>
      <c r="E595" s="9"/>
      <c r="F595" s="49"/>
      <c r="G595" s="9"/>
      <c r="H595" s="62"/>
      <c r="I595" s="62"/>
      <c r="J595" s="62"/>
      <c r="K595" s="62"/>
      <c r="L595" s="905"/>
      <c r="M595" s="220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</row>
    <row r="596" spans="1:227" s="14" customFormat="1">
      <c r="A596" s="21"/>
      <c r="B596" s="61"/>
      <c r="C596" s="61"/>
      <c r="D596" s="236"/>
      <c r="E596" s="9"/>
      <c r="F596" s="49"/>
      <c r="G596" s="9"/>
      <c r="H596" s="62"/>
      <c r="I596" s="62"/>
      <c r="J596" s="62"/>
      <c r="K596" s="62"/>
      <c r="L596" s="905"/>
      <c r="M596" s="220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</row>
    <row r="597" spans="1:227" s="14" customFormat="1">
      <c r="A597" s="21"/>
      <c r="B597" s="61"/>
      <c r="C597" s="61"/>
      <c r="D597" s="236"/>
      <c r="E597" s="9"/>
      <c r="F597" s="49"/>
      <c r="G597" s="9"/>
      <c r="H597" s="62"/>
      <c r="I597" s="62"/>
      <c r="J597" s="62"/>
      <c r="K597" s="62"/>
      <c r="L597" s="905"/>
      <c r="M597" s="220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</row>
    <row r="598" spans="1:227" s="14" customFormat="1">
      <c r="A598" s="21"/>
      <c r="B598" s="61"/>
      <c r="C598" s="61"/>
      <c r="D598" s="236"/>
      <c r="E598" s="9"/>
      <c r="F598" s="49"/>
      <c r="G598" s="9"/>
      <c r="H598" s="62"/>
      <c r="I598" s="62"/>
      <c r="J598" s="62"/>
      <c r="K598" s="62"/>
      <c r="L598" s="905"/>
      <c r="M598" s="220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</row>
    <row r="599" spans="1:227" s="14" customFormat="1">
      <c r="A599" s="21"/>
      <c r="B599" s="61"/>
      <c r="C599" s="61"/>
      <c r="D599" s="236"/>
      <c r="E599" s="9"/>
      <c r="F599" s="49"/>
      <c r="G599" s="9"/>
      <c r="H599" s="62"/>
      <c r="I599" s="62"/>
      <c r="J599" s="62"/>
      <c r="K599" s="62"/>
      <c r="L599" s="905"/>
      <c r="M599" s="220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</row>
    <row r="600" spans="1:227" s="14" customFormat="1">
      <c r="A600" s="21"/>
      <c r="B600" s="61"/>
      <c r="C600" s="61"/>
      <c r="D600" s="236"/>
      <c r="E600" s="9"/>
      <c r="F600" s="49"/>
      <c r="G600" s="9"/>
      <c r="H600" s="62"/>
      <c r="I600" s="62"/>
      <c r="J600" s="62"/>
      <c r="K600" s="62"/>
      <c r="L600" s="905"/>
      <c r="M600" s="220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</row>
    <row r="601" spans="1:227" s="14" customFormat="1">
      <c r="A601" s="21"/>
      <c r="B601" s="61"/>
      <c r="C601" s="61"/>
      <c r="D601" s="236"/>
      <c r="E601" s="9"/>
      <c r="F601" s="49"/>
      <c r="G601" s="9"/>
      <c r="H601" s="62"/>
      <c r="I601" s="62"/>
      <c r="J601" s="62"/>
      <c r="K601" s="62"/>
      <c r="L601" s="905"/>
      <c r="M601" s="220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</row>
    <row r="602" spans="1:227" s="14" customFormat="1">
      <c r="A602" s="21"/>
      <c r="B602" s="61"/>
      <c r="C602" s="61"/>
      <c r="D602" s="236"/>
      <c r="E602" s="9"/>
      <c r="F602" s="49"/>
      <c r="G602" s="9"/>
      <c r="H602" s="62"/>
      <c r="I602" s="62"/>
      <c r="J602" s="62"/>
      <c r="K602" s="62"/>
      <c r="L602" s="905"/>
      <c r="M602" s="220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</row>
    <row r="603" spans="1:227" s="14" customFormat="1">
      <c r="A603" s="21"/>
      <c r="B603" s="61"/>
      <c r="C603" s="61"/>
      <c r="D603" s="236"/>
      <c r="E603" s="9"/>
      <c r="F603" s="49"/>
      <c r="G603" s="9"/>
      <c r="H603" s="62"/>
      <c r="I603" s="62"/>
      <c r="J603" s="62"/>
      <c r="K603" s="62"/>
      <c r="L603" s="905"/>
      <c r="M603" s="220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</row>
    <row r="604" spans="1:227" s="14" customFormat="1">
      <c r="A604" s="21"/>
      <c r="B604" s="61"/>
      <c r="C604" s="61"/>
      <c r="D604" s="236"/>
      <c r="E604" s="9"/>
      <c r="F604" s="49"/>
      <c r="G604" s="9"/>
      <c r="H604" s="62"/>
      <c r="I604" s="62"/>
      <c r="J604" s="62"/>
      <c r="K604" s="62"/>
      <c r="L604" s="905"/>
      <c r="M604" s="220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</row>
    <row r="605" spans="1:227" s="14" customFormat="1">
      <c r="A605" s="21"/>
      <c r="B605" s="61"/>
      <c r="C605" s="61"/>
      <c r="D605" s="236"/>
      <c r="E605" s="9"/>
      <c r="F605" s="49"/>
      <c r="G605" s="9"/>
      <c r="H605" s="62"/>
      <c r="I605" s="62"/>
      <c r="J605" s="62"/>
      <c r="K605" s="62"/>
      <c r="L605" s="905"/>
      <c r="M605" s="220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</row>
    <row r="606" spans="1:227" s="14" customFormat="1">
      <c r="A606" s="21"/>
      <c r="B606" s="61"/>
      <c r="C606" s="61"/>
      <c r="D606" s="236"/>
      <c r="E606" s="9"/>
      <c r="F606" s="49"/>
      <c r="G606" s="9"/>
      <c r="H606" s="62"/>
      <c r="I606" s="62"/>
      <c r="J606" s="62"/>
      <c r="K606" s="62"/>
      <c r="L606" s="905"/>
      <c r="M606" s="220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</row>
    <row r="607" spans="1:227" s="14" customFormat="1">
      <c r="A607" s="21"/>
      <c r="B607" s="61"/>
      <c r="C607" s="61"/>
      <c r="D607" s="236"/>
      <c r="E607" s="9"/>
      <c r="F607" s="49"/>
      <c r="G607" s="9"/>
      <c r="H607" s="62"/>
      <c r="I607" s="62"/>
      <c r="J607" s="62"/>
      <c r="K607" s="62"/>
      <c r="L607" s="905"/>
      <c r="M607" s="220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</row>
    <row r="608" spans="1:227" s="14" customFormat="1">
      <c r="A608" s="21"/>
      <c r="B608" s="61"/>
      <c r="C608" s="61"/>
      <c r="D608" s="236"/>
      <c r="E608" s="9"/>
      <c r="F608" s="49"/>
      <c r="G608" s="9"/>
      <c r="H608" s="62"/>
      <c r="I608" s="62"/>
      <c r="J608" s="62"/>
      <c r="K608" s="62"/>
      <c r="L608" s="905"/>
      <c r="M608" s="220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</row>
    <row r="609" spans="1:227" s="14" customFormat="1">
      <c r="A609" s="21"/>
      <c r="B609" s="61"/>
      <c r="C609" s="61"/>
      <c r="D609" s="236"/>
      <c r="E609" s="9"/>
      <c r="F609" s="49"/>
      <c r="G609" s="9"/>
      <c r="H609" s="62"/>
      <c r="I609" s="62"/>
      <c r="J609" s="62"/>
      <c r="K609" s="62"/>
      <c r="L609" s="905"/>
      <c r="M609" s="220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</row>
    <row r="610" spans="1:227" s="14" customFormat="1">
      <c r="A610" s="21"/>
      <c r="B610" s="61"/>
      <c r="C610" s="61"/>
      <c r="D610" s="236"/>
      <c r="E610" s="9"/>
      <c r="F610" s="49"/>
      <c r="G610" s="9"/>
      <c r="H610" s="62"/>
      <c r="I610" s="62"/>
      <c r="J610" s="62"/>
      <c r="K610" s="62"/>
      <c r="L610" s="905"/>
      <c r="M610" s="220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</row>
    <row r="611" spans="1:227" s="14" customFormat="1">
      <c r="A611" s="21"/>
      <c r="B611" s="61"/>
      <c r="C611" s="61"/>
      <c r="D611" s="236"/>
      <c r="E611" s="9"/>
      <c r="F611" s="49"/>
      <c r="G611" s="9"/>
      <c r="H611" s="62"/>
      <c r="I611" s="62"/>
      <c r="J611" s="62"/>
      <c r="K611" s="62"/>
      <c r="L611" s="905"/>
      <c r="M611" s="220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</row>
    <row r="612" spans="1:227" s="14" customFormat="1">
      <c r="A612" s="21"/>
      <c r="B612" s="61"/>
      <c r="C612" s="61"/>
      <c r="D612" s="236"/>
      <c r="E612" s="9"/>
      <c r="F612" s="49"/>
      <c r="G612" s="9"/>
      <c r="H612" s="62"/>
      <c r="I612" s="62"/>
      <c r="J612" s="62"/>
      <c r="K612" s="62"/>
      <c r="L612" s="905"/>
      <c r="M612" s="220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</row>
    <row r="613" spans="1:227" s="14" customFormat="1">
      <c r="A613" s="21"/>
      <c r="B613" s="61"/>
      <c r="C613" s="61"/>
      <c r="D613" s="236"/>
      <c r="E613" s="9"/>
      <c r="F613" s="49"/>
      <c r="G613" s="9"/>
      <c r="H613" s="62"/>
      <c r="I613" s="62"/>
      <c r="J613" s="62"/>
      <c r="K613" s="62"/>
      <c r="L613" s="905"/>
      <c r="M613" s="220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</row>
    <row r="614" spans="1:227" s="14" customFormat="1">
      <c r="A614" s="21"/>
      <c r="B614" s="61"/>
      <c r="C614" s="61"/>
      <c r="D614" s="236"/>
      <c r="E614" s="9"/>
      <c r="F614" s="49"/>
      <c r="G614" s="9"/>
      <c r="H614" s="62"/>
      <c r="I614" s="62"/>
      <c r="J614" s="62"/>
      <c r="K614" s="62"/>
      <c r="L614" s="905"/>
      <c r="M614" s="220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</row>
    <row r="615" spans="1:227" s="14" customFormat="1">
      <c r="A615" s="21"/>
      <c r="B615" s="61"/>
      <c r="C615" s="61"/>
      <c r="D615" s="236"/>
      <c r="E615" s="9"/>
      <c r="F615" s="49"/>
      <c r="G615" s="9"/>
      <c r="H615" s="62"/>
      <c r="I615" s="62"/>
      <c r="J615" s="62"/>
      <c r="K615" s="62"/>
      <c r="L615" s="905"/>
      <c r="M615" s="220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</row>
    <row r="616" spans="1:227" s="14" customFormat="1">
      <c r="A616" s="21"/>
      <c r="B616" s="61"/>
      <c r="C616" s="61"/>
      <c r="D616" s="236"/>
      <c r="E616" s="9"/>
      <c r="F616" s="49"/>
      <c r="G616" s="9"/>
      <c r="H616" s="62"/>
      <c r="I616" s="62"/>
      <c r="J616" s="62"/>
      <c r="K616" s="62"/>
      <c r="L616" s="905"/>
      <c r="M616" s="220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</row>
    <row r="617" spans="1:227" s="14" customFormat="1">
      <c r="A617" s="21"/>
      <c r="B617" s="61"/>
      <c r="C617" s="61"/>
      <c r="D617" s="236"/>
      <c r="E617" s="9"/>
      <c r="F617" s="49"/>
      <c r="G617" s="9"/>
      <c r="H617" s="62"/>
      <c r="I617" s="62"/>
      <c r="J617" s="62"/>
      <c r="K617" s="62"/>
      <c r="L617" s="905"/>
      <c r="M617" s="220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</row>
    <row r="618" spans="1:227" s="14" customFormat="1">
      <c r="A618" s="21"/>
      <c r="B618" s="61"/>
      <c r="C618" s="61"/>
      <c r="D618" s="236"/>
      <c r="E618" s="9"/>
      <c r="F618" s="49"/>
      <c r="G618" s="9"/>
      <c r="H618" s="62"/>
      <c r="I618" s="62"/>
      <c r="J618" s="62"/>
      <c r="K618" s="62"/>
      <c r="L618" s="905"/>
      <c r="M618" s="220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</row>
    <row r="619" spans="1:227" s="14" customFormat="1">
      <c r="A619" s="21"/>
      <c r="B619" s="61"/>
      <c r="C619" s="61"/>
      <c r="D619" s="236"/>
      <c r="E619" s="9"/>
      <c r="F619" s="49"/>
      <c r="G619" s="9"/>
      <c r="H619" s="62"/>
      <c r="I619" s="62"/>
      <c r="J619" s="62"/>
      <c r="K619" s="62"/>
      <c r="L619" s="905"/>
      <c r="M619" s="220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</row>
    <row r="620" spans="1:227" s="14" customFormat="1">
      <c r="A620" s="21"/>
      <c r="B620" s="61"/>
      <c r="C620" s="61"/>
      <c r="D620" s="236"/>
      <c r="E620" s="9"/>
      <c r="F620" s="49"/>
      <c r="G620" s="9"/>
      <c r="H620" s="62"/>
      <c r="I620" s="62"/>
      <c r="J620" s="62"/>
      <c r="K620" s="62"/>
      <c r="L620" s="905"/>
      <c r="M620" s="220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</row>
    <row r="621" spans="1:227" s="14" customFormat="1">
      <c r="A621" s="21"/>
      <c r="B621" s="61"/>
      <c r="C621" s="61"/>
      <c r="D621" s="236"/>
      <c r="E621" s="9"/>
      <c r="F621" s="49"/>
      <c r="G621" s="9"/>
      <c r="H621" s="62"/>
      <c r="I621" s="62"/>
      <c r="J621" s="62"/>
      <c r="K621" s="62"/>
      <c r="L621" s="905"/>
      <c r="M621" s="220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</row>
    <row r="622" spans="1:227" s="14" customFormat="1">
      <c r="A622" s="21"/>
      <c r="B622" s="61"/>
      <c r="C622" s="61"/>
      <c r="D622" s="236"/>
      <c r="E622" s="9"/>
      <c r="F622" s="49"/>
      <c r="G622" s="9"/>
      <c r="H622" s="62"/>
      <c r="I622" s="62"/>
      <c r="J622" s="62"/>
      <c r="K622" s="62"/>
      <c r="L622" s="905"/>
      <c r="M622" s="220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</row>
    <row r="623" spans="1:227" s="14" customFormat="1">
      <c r="A623" s="21"/>
      <c r="B623" s="61"/>
      <c r="C623" s="61"/>
      <c r="D623" s="236"/>
      <c r="E623" s="9"/>
      <c r="F623" s="49"/>
      <c r="G623" s="9"/>
      <c r="H623" s="62"/>
      <c r="I623" s="62"/>
      <c r="J623" s="62"/>
      <c r="K623" s="62"/>
      <c r="L623" s="905"/>
      <c r="M623" s="220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</row>
    <row r="624" spans="1:227" s="14" customFormat="1">
      <c r="A624" s="21"/>
      <c r="B624" s="61"/>
      <c r="C624" s="61"/>
      <c r="D624" s="236"/>
      <c r="E624" s="9"/>
      <c r="F624" s="49"/>
      <c r="G624" s="9"/>
      <c r="H624" s="62"/>
      <c r="I624" s="62"/>
      <c r="J624" s="62"/>
      <c r="K624" s="62"/>
      <c r="L624" s="905"/>
      <c r="M624" s="220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</row>
    <row r="625" spans="1:227" s="14" customFormat="1">
      <c r="A625" s="21"/>
      <c r="B625" s="61"/>
      <c r="C625" s="61"/>
      <c r="D625" s="236"/>
      <c r="E625" s="9"/>
      <c r="F625" s="49"/>
      <c r="G625" s="9"/>
      <c r="H625" s="62"/>
      <c r="I625" s="62"/>
      <c r="J625" s="62"/>
      <c r="K625" s="62"/>
      <c r="L625" s="905"/>
      <c r="M625" s="220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</row>
    <row r="626" spans="1:227" s="14" customFormat="1">
      <c r="A626" s="21"/>
      <c r="B626" s="61"/>
      <c r="C626" s="61"/>
      <c r="D626" s="236"/>
      <c r="E626" s="9"/>
      <c r="F626" s="49"/>
      <c r="G626" s="9"/>
      <c r="H626" s="62"/>
      <c r="I626" s="62"/>
      <c r="J626" s="62"/>
      <c r="K626" s="62"/>
      <c r="L626" s="905"/>
      <c r="M626" s="220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</row>
    <row r="627" spans="1:227" s="14" customFormat="1">
      <c r="A627" s="21"/>
      <c r="B627" s="61"/>
      <c r="C627" s="61"/>
      <c r="D627" s="236"/>
      <c r="E627" s="9"/>
      <c r="F627" s="49"/>
      <c r="G627" s="9"/>
      <c r="H627" s="62"/>
      <c r="I627" s="62"/>
      <c r="J627" s="62"/>
      <c r="K627" s="62"/>
      <c r="L627" s="905"/>
      <c r="M627" s="220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</row>
    <row r="628" spans="1:227" s="14" customFormat="1">
      <c r="A628" s="21"/>
      <c r="B628" s="61"/>
      <c r="C628" s="61"/>
      <c r="D628" s="236"/>
      <c r="E628" s="9"/>
      <c r="F628" s="49"/>
      <c r="G628" s="9"/>
      <c r="H628" s="62"/>
      <c r="I628" s="62"/>
      <c r="J628" s="62"/>
      <c r="K628" s="62"/>
      <c r="L628" s="905"/>
      <c r="M628" s="220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</row>
    <row r="629" spans="1:227" s="14" customFormat="1">
      <c r="A629" s="21"/>
      <c r="B629" s="61"/>
      <c r="C629" s="61"/>
      <c r="D629" s="236"/>
      <c r="E629" s="9"/>
      <c r="F629" s="49"/>
      <c r="G629" s="9"/>
      <c r="H629" s="62"/>
      <c r="I629" s="62"/>
      <c r="J629" s="62"/>
      <c r="K629" s="62"/>
      <c r="L629" s="905"/>
      <c r="M629" s="220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</row>
    <row r="630" spans="1:227" s="14" customFormat="1">
      <c r="A630" s="21"/>
      <c r="B630" s="61"/>
      <c r="C630" s="61"/>
      <c r="D630" s="236"/>
      <c r="E630" s="9"/>
      <c r="F630" s="49"/>
      <c r="G630" s="9"/>
      <c r="H630" s="62"/>
      <c r="I630" s="62"/>
      <c r="J630" s="62"/>
      <c r="K630" s="62"/>
      <c r="L630" s="905"/>
      <c r="M630" s="220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</row>
    <row r="631" spans="1:227" s="14" customFormat="1">
      <c r="A631" s="21"/>
      <c r="B631" s="61"/>
      <c r="C631" s="61"/>
      <c r="D631" s="236"/>
      <c r="E631" s="9"/>
      <c r="F631" s="49"/>
      <c r="G631" s="9"/>
      <c r="H631" s="62"/>
      <c r="I631" s="62"/>
      <c r="J631" s="62"/>
      <c r="K631" s="62"/>
      <c r="L631" s="905"/>
      <c r="M631" s="220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</row>
    <row r="632" spans="1:227" s="14" customFormat="1">
      <c r="A632" s="21"/>
      <c r="B632" s="61"/>
      <c r="C632" s="61"/>
      <c r="D632" s="236"/>
      <c r="E632" s="9"/>
      <c r="F632" s="49"/>
      <c r="G632" s="9"/>
      <c r="H632" s="62"/>
      <c r="I632" s="62"/>
      <c r="J632" s="62"/>
      <c r="K632" s="62"/>
      <c r="L632" s="905"/>
      <c r="M632" s="220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</row>
    <row r="633" spans="1:227" s="14" customFormat="1">
      <c r="A633" s="21"/>
      <c r="B633" s="61"/>
      <c r="C633" s="61"/>
      <c r="D633" s="236"/>
      <c r="E633" s="9"/>
      <c r="F633" s="49"/>
      <c r="G633" s="9"/>
      <c r="H633" s="62"/>
      <c r="I633" s="62"/>
      <c r="J633" s="62"/>
      <c r="K633" s="62"/>
      <c r="L633" s="905"/>
      <c r="M633" s="220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</row>
    <row r="634" spans="1:227" s="14" customFormat="1">
      <c r="A634" s="21"/>
      <c r="B634" s="61"/>
      <c r="C634" s="61"/>
      <c r="D634" s="236"/>
      <c r="E634" s="9"/>
      <c r="F634" s="49"/>
      <c r="G634" s="9"/>
      <c r="H634" s="62"/>
      <c r="I634" s="62"/>
      <c r="J634" s="62"/>
      <c r="K634" s="62"/>
      <c r="L634" s="905"/>
      <c r="M634" s="220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</row>
    <row r="635" spans="1:227" s="14" customFormat="1">
      <c r="A635" s="21"/>
      <c r="B635" s="61"/>
      <c r="C635" s="61"/>
      <c r="D635" s="236"/>
      <c r="E635" s="9"/>
      <c r="F635" s="49"/>
      <c r="G635" s="9"/>
      <c r="H635" s="62"/>
      <c r="I635" s="62"/>
      <c r="J635" s="62"/>
      <c r="K635" s="62"/>
      <c r="L635" s="905"/>
      <c r="M635" s="220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</row>
    <row r="636" spans="1:227" s="14" customFormat="1">
      <c r="A636" s="21"/>
      <c r="B636" s="61"/>
      <c r="C636" s="61"/>
      <c r="D636" s="236"/>
      <c r="E636" s="9"/>
      <c r="F636" s="49"/>
      <c r="G636" s="9"/>
      <c r="H636" s="62"/>
      <c r="I636" s="62"/>
      <c r="J636" s="62"/>
      <c r="K636" s="62"/>
      <c r="L636" s="905"/>
      <c r="M636" s="220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</row>
    <row r="637" spans="1:227" s="14" customFormat="1">
      <c r="A637" s="21"/>
      <c r="B637" s="61"/>
      <c r="C637" s="61"/>
      <c r="D637" s="236"/>
      <c r="E637" s="9"/>
      <c r="F637" s="49"/>
      <c r="G637" s="9"/>
      <c r="H637" s="62"/>
      <c r="I637" s="62"/>
      <c r="J637" s="62"/>
      <c r="K637" s="62"/>
      <c r="L637" s="905"/>
      <c r="M637" s="220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</row>
    <row r="638" spans="1:227" s="14" customFormat="1">
      <c r="A638" s="21"/>
      <c r="B638" s="61"/>
      <c r="C638" s="61"/>
      <c r="D638" s="236"/>
      <c r="E638" s="9"/>
      <c r="F638" s="49"/>
      <c r="G638" s="9"/>
      <c r="H638" s="62"/>
      <c r="I638" s="62"/>
      <c r="J638" s="62"/>
      <c r="K638" s="62"/>
      <c r="L638" s="905"/>
      <c r="M638" s="220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</row>
    <row r="639" spans="1:227" s="14" customFormat="1">
      <c r="A639" s="21"/>
      <c r="B639" s="61"/>
      <c r="C639" s="61"/>
      <c r="D639" s="236"/>
      <c r="E639" s="9"/>
      <c r="F639" s="49"/>
      <c r="G639" s="9"/>
      <c r="H639" s="62"/>
      <c r="I639" s="62"/>
      <c r="J639" s="62"/>
      <c r="K639" s="62"/>
      <c r="L639" s="905"/>
      <c r="M639" s="220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</row>
    <row r="640" spans="1:227" s="14" customFormat="1">
      <c r="A640" s="21"/>
      <c r="B640" s="61"/>
      <c r="C640" s="61"/>
      <c r="D640" s="236"/>
      <c r="E640" s="9"/>
      <c r="F640" s="49"/>
      <c r="G640" s="9"/>
      <c r="H640" s="62"/>
      <c r="I640" s="62"/>
      <c r="J640" s="62"/>
      <c r="K640" s="62"/>
      <c r="L640" s="905"/>
      <c r="M640" s="220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</row>
    <row r="641" spans="1:227" s="14" customFormat="1">
      <c r="A641" s="21"/>
      <c r="B641" s="61"/>
      <c r="C641" s="61"/>
      <c r="D641" s="236"/>
      <c r="E641" s="9"/>
      <c r="F641" s="49"/>
      <c r="G641" s="9"/>
      <c r="H641" s="62"/>
      <c r="I641" s="62"/>
      <c r="J641" s="62"/>
      <c r="K641" s="62"/>
      <c r="L641" s="905"/>
      <c r="M641" s="220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</row>
    <row r="642" spans="1:227" s="14" customFormat="1">
      <c r="A642" s="21"/>
      <c r="B642" s="61"/>
      <c r="C642" s="61"/>
      <c r="D642" s="236"/>
      <c r="E642" s="9"/>
      <c r="F642" s="49"/>
      <c r="G642" s="9"/>
      <c r="H642" s="62"/>
      <c r="I642" s="62"/>
      <c r="J642" s="62"/>
      <c r="K642" s="62"/>
      <c r="L642" s="905"/>
      <c r="M642" s="220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</row>
    <row r="643" spans="1:227" s="14" customFormat="1">
      <c r="A643" s="21"/>
      <c r="B643" s="61"/>
      <c r="C643" s="61"/>
      <c r="D643" s="236"/>
      <c r="E643" s="9"/>
      <c r="F643" s="49"/>
      <c r="G643" s="9"/>
      <c r="H643" s="62"/>
      <c r="I643" s="62"/>
      <c r="J643" s="62"/>
      <c r="K643" s="62"/>
      <c r="L643" s="905"/>
      <c r="M643" s="220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</row>
    <row r="644" spans="1:227" s="14" customFormat="1">
      <c r="A644" s="21"/>
      <c r="B644" s="61"/>
      <c r="C644" s="61"/>
      <c r="D644" s="236"/>
      <c r="E644" s="9"/>
      <c r="F644" s="49"/>
      <c r="G644" s="9"/>
      <c r="H644" s="62"/>
      <c r="I644" s="62"/>
      <c r="J644" s="62"/>
      <c r="K644" s="62"/>
      <c r="L644" s="905"/>
      <c r="M644" s="220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</row>
    <row r="645" spans="1:227" s="14" customFormat="1">
      <c r="A645" s="21"/>
      <c r="B645" s="61"/>
      <c r="C645" s="61"/>
      <c r="D645" s="236"/>
      <c r="E645" s="9"/>
      <c r="F645" s="49"/>
      <c r="G645" s="9"/>
      <c r="H645" s="62"/>
      <c r="I645" s="62"/>
      <c r="J645" s="62"/>
      <c r="K645" s="62"/>
      <c r="L645" s="905"/>
      <c r="M645" s="220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</row>
    <row r="646" spans="1:227" s="14" customFormat="1">
      <c r="A646" s="21"/>
      <c r="B646" s="61"/>
      <c r="C646" s="61"/>
      <c r="D646" s="236"/>
      <c r="E646" s="9"/>
      <c r="F646" s="49"/>
      <c r="G646" s="9"/>
      <c r="H646" s="62"/>
      <c r="I646" s="62"/>
      <c r="J646" s="62"/>
      <c r="K646" s="62"/>
      <c r="L646" s="905"/>
      <c r="M646" s="220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</row>
    <row r="647" spans="1:227" s="14" customFormat="1">
      <c r="A647" s="21"/>
      <c r="B647" s="61"/>
      <c r="C647" s="61"/>
      <c r="D647" s="236"/>
      <c r="E647" s="9"/>
      <c r="F647" s="49"/>
      <c r="G647" s="9"/>
      <c r="H647" s="62"/>
      <c r="I647" s="62"/>
      <c r="J647" s="62"/>
      <c r="K647" s="62"/>
      <c r="L647" s="905"/>
      <c r="M647" s="220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</row>
    <row r="648" spans="1:227" s="14" customFormat="1">
      <c r="A648" s="21"/>
      <c r="B648" s="61"/>
      <c r="C648" s="61"/>
      <c r="D648" s="236"/>
      <c r="E648" s="9"/>
      <c r="F648" s="49"/>
      <c r="G648" s="9"/>
      <c r="H648" s="62"/>
      <c r="I648" s="62"/>
      <c r="J648" s="62"/>
      <c r="K648" s="62"/>
      <c r="L648" s="905"/>
      <c r="M648" s="220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</row>
    <row r="649" spans="1:227" s="14" customFormat="1">
      <c r="A649" s="21"/>
      <c r="B649" s="61"/>
      <c r="C649" s="61"/>
      <c r="D649" s="236"/>
      <c r="E649" s="9"/>
      <c r="F649" s="49"/>
      <c r="G649" s="9"/>
      <c r="H649" s="62"/>
      <c r="I649" s="62"/>
      <c r="J649" s="62"/>
      <c r="K649" s="62"/>
      <c r="L649" s="905"/>
      <c r="M649" s="220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</row>
    <row r="650" spans="1:227" s="14" customFormat="1">
      <c r="A650" s="21"/>
      <c r="B650" s="61"/>
      <c r="C650" s="61"/>
      <c r="D650" s="236"/>
      <c r="E650" s="9"/>
      <c r="F650" s="49"/>
      <c r="G650" s="9"/>
      <c r="H650" s="62"/>
      <c r="I650" s="62"/>
      <c r="J650" s="62"/>
      <c r="K650" s="62"/>
      <c r="L650" s="905"/>
      <c r="M650" s="220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</row>
    <row r="651" spans="1:227" s="14" customFormat="1">
      <c r="A651" s="21"/>
      <c r="B651" s="61"/>
      <c r="C651" s="61"/>
      <c r="D651" s="236"/>
      <c r="E651" s="9"/>
      <c r="F651" s="49"/>
      <c r="G651" s="9"/>
      <c r="H651" s="62"/>
      <c r="I651" s="62"/>
      <c r="J651" s="62"/>
      <c r="K651" s="62"/>
      <c r="L651" s="905"/>
      <c r="M651" s="220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</row>
    <row r="652" spans="1:227" s="14" customFormat="1">
      <c r="A652" s="21"/>
      <c r="B652" s="61"/>
      <c r="C652" s="61"/>
      <c r="D652" s="236"/>
      <c r="E652" s="9"/>
      <c r="F652" s="49"/>
      <c r="G652" s="9"/>
      <c r="H652" s="62"/>
      <c r="I652" s="62"/>
      <c r="J652" s="62"/>
      <c r="K652" s="62"/>
      <c r="L652" s="62"/>
      <c r="M652" s="220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</row>
    <row r="653" spans="1:227" s="14" customFormat="1">
      <c r="A653" s="21"/>
      <c r="B653" s="61"/>
      <c r="C653" s="61"/>
      <c r="D653" s="236"/>
      <c r="E653" s="9"/>
      <c r="F653" s="49"/>
      <c r="G653" s="9"/>
      <c r="H653" s="62"/>
      <c r="I653" s="62"/>
      <c r="J653" s="62"/>
      <c r="K653" s="62"/>
      <c r="L653" s="62"/>
      <c r="M653" s="220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</row>
    <row r="654" spans="1:227" s="14" customFormat="1">
      <c r="A654" s="21"/>
      <c r="B654" s="61"/>
      <c r="C654" s="61"/>
      <c r="D654" s="236"/>
      <c r="E654" s="9"/>
      <c r="F654" s="49"/>
      <c r="G654" s="9"/>
      <c r="H654" s="62"/>
      <c r="I654" s="62"/>
      <c r="J654" s="62"/>
      <c r="K654" s="62"/>
      <c r="L654" s="62"/>
      <c r="M654" s="220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</row>
    <row r="655" spans="1:227" s="14" customFormat="1">
      <c r="A655" s="21"/>
      <c r="B655" s="61"/>
      <c r="C655" s="61"/>
      <c r="D655" s="236"/>
      <c r="E655" s="9"/>
      <c r="F655" s="49"/>
      <c r="G655" s="9"/>
      <c r="H655" s="62"/>
      <c r="I655" s="62"/>
      <c r="J655" s="62"/>
      <c r="K655" s="62"/>
      <c r="L655" s="62"/>
      <c r="M655" s="220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</row>
    <row r="656" spans="1:227" s="14" customFormat="1">
      <c r="A656" s="21"/>
      <c r="B656" s="61"/>
      <c r="C656" s="61"/>
      <c r="D656" s="236"/>
      <c r="E656" s="9"/>
      <c r="F656" s="49"/>
      <c r="G656" s="9"/>
      <c r="H656" s="62"/>
      <c r="I656" s="62"/>
      <c r="J656" s="62"/>
      <c r="K656" s="62"/>
      <c r="L656" s="62"/>
      <c r="M656" s="220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</row>
    <row r="657" spans="1:227" s="14" customFormat="1">
      <c r="A657" s="21"/>
      <c r="B657" s="61"/>
      <c r="C657" s="61"/>
      <c r="D657" s="236"/>
      <c r="E657" s="9"/>
      <c r="F657" s="49"/>
      <c r="G657" s="9"/>
      <c r="H657" s="62"/>
      <c r="I657" s="62"/>
      <c r="J657" s="62"/>
      <c r="K657" s="62"/>
      <c r="L657" s="62"/>
      <c r="M657" s="220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</row>
    <row r="658" spans="1:227" s="14" customFormat="1">
      <c r="A658" s="21"/>
      <c r="B658" s="61"/>
      <c r="C658" s="61"/>
      <c r="D658" s="236"/>
      <c r="E658" s="9"/>
      <c r="F658" s="49"/>
      <c r="G658" s="9"/>
      <c r="H658" s="62"/>
      <c r="I658" s="62"/>
      <c r="J658" s="62"/>
      <c r="K658" s="62"/>
      <c r="L658" s="62"/>
      <c r="M658" s="220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</row>
    <row r="659" spans="1:227" s="14" customFormat="1">
      <c r="A659" s="21"/>
      <c r="B659" s="61"/>
      <c r="C659" s="61"/>
      <c r="D659" s="236"/>
      <c r="E659" s="9"/>
      <c r="F659" s="49"/>
      <c r="G659" s="9"/>
      <c r="H659" s="62"/>
      <c r="I659" s="62"/>
      <c r="J659" s="62"/>
      <c r="K659" s="62"/>
      <c r="L659" s="62"/>
      <c r="M659" s="220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</row>
    <row r="660" spans="1:227" s="14" customFormat="1">
      <c r="A660" s="21"/>
      <c r="B660" s="61"/>
      <c r="C660" s="61"/>
      <c r="D660" s="236"/>
      <c r="E660" s="9"/>
      <c r="F660" s="49"/>
      <c r="G660" s="9"/>
      <c r="H660" s="62"/>
      <c r="I660" s="62"/>
      <c r="J660" s="62"/>
      <c r="K660" s="62"/>
      <c r="L660" s="62"/>
      <c r="M660" s="220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</row>
    <row r="661" spans="1:227" s="14" customFormat="1">
      <c r="A661" s="21"/>
      <c r="B661" s="61"/>
      <c r="C661" s="61"/>
      <c r="D661" s="236"/>
      <c r="E661" s="9"/>
      <c r="F661" s="49"/>
      <c r="G661" s="9"/>
      <c r="H661" s="62"/>
      <c r="I661" s="62"/>
      <c r="J661" s="62"/>
      <c r="K661" s="62"/>
      <c r="L661" s="62"/>
      <c r="M661" s="220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</row>
    <row r="662" spans="1:227" s="14" customFormat="1">
      <c r="A662" s="21"/>
      <c r="B662" s="61"/>
      <c r="C662" s="61"/>
      <c r="D662" s="236"/>
      <c r="E662" s="9"/>
      <c r="F662" s="49"/>
      <c r="G662" s="9"/>
      <c r="H662" s="62"/>
      <c r="I662" s="62"/>
      <c r="J662" s="62"/>
      <c r="K662" s="62"/>
      <c r="L662" s="62"/>
      <c r="M662" s="220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</row>
    <row r="663" spans="1:227" s="14" customFormat="1">
      <c r="A663" s="21"/>
      <c r="B663" s="61"/>
      <c r="C663" s="61"/>
      <c r="D663" s="236"/>
      <c r="E663" s="9"/>
      <c r="F663" s="49"/>
      <c r="G663" s="9"/>
      <c r="H663" s="62"/>
      <c r="I663" s="62"/>
      <c r="J663" s="62"/>
      <c r="K663" s="62"/>
      <c r="L663" s="62"/>
      <c r="M663" s="220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</row>
    <row r="664" spans="1:227" s="14" customFormat="1">
      <c r="A664" s="21"/>
      <c r="B664" s="61"/>
      <c r="C664" s="61"/>
      <c r="D664" s="236"/>
      <c r="E664" s="9"/>
      <c r="F664" s="49"/>
      <c r="G664" s="9"/>
      <c r="H664" s="62"/>
      <c r="I664" s="62"/>
      <c r="J664" s="62"/>
      <c r="K664" s="62"/>
      <c r="L664" s="62"/>
      <c r="M664" s="220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</row>
    <row r="665" spans="1:227" s="14" customFormat="1">
      <c r="A665" s="21"/>
      <c r="B665" s="61"/>
      <c r="C665" s="61"/>
      <c r="D665" s="236"/>
      <c r="E665" s="9"/>
      <c r="F665" s="49"/>
      <c r="G665" s="9"/>
      <c r="H665" s="62"/>
      <c r="I665" s="62"/>
      <c r="J665" s="62"/>
      <c r="K665" s="62"/>
      <c r="L665" s="62"/>
      <c r="M665" s="220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</row>
    <row r="666" spans="1:227" s="14" customFormat="1">
      <c r="A666" s="21"/>
      <c r="B666" s="61"/>
      <c r="C666" s="61"/>
      <c r="D666" s="236"/>
      <c r="E666" s="9"/>
      <c r="F666" s="49"/>
      <c r="G666" s="9"/>
      <c r="H666" s="62"/>
      <c r="I666" s="62"/>
      <c r="J666" s="62"/>
      <c r="K666" s="62"/>
      <c r="L666" s="62"/>
      <c r="M666" s="220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</row>
    <row r="667" spans="1:227" s="14" customFormat="1">
      <c r="A667" s="21"/>
      <c r="B667" s="61"/>
      <c r="C667" s="61"/>
      <c r="D667" s="236"/>
      <c r="E667" s="9"/>
      <c r="F667" s="49"/>
      <c r="G667" s="9"/>
      <c r="H667" s="62"/>
      <c r="I667" s="62"/>
      <c r="J667" s="62"/>
      <c r="K667" s="62"/>
      <c r="L667" s="62"/>
      <c r="M667" s="220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</row>
    <row r="668" spans="1:227" s="14" customFormat="1">
      <c r="A668" s="21"/>
      <c r="B668" s="61"/>
      <c r="C668" s="61"/>
      <c r="D668" s="236"/>
      <c r="E668" s="9"/>
      <c r="F668" s="49"/>
      <c r="G668" s="9"/>
      <c r="H668" s="62"/>
      <c r="I668" s="62"/>
      <c r="J668" s="62"/>
      <c r="K668" s="62"/>
      <c r="L668" s="62"/>
      <c r="M668" s="220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</row>
    <row r="669" spans="1:227" s="14" customFormat="1">
      <c r="A669" s="21"/>
      <c r="B669" s="61"/>
      <c r="C669" s="61"/>
      <c r="D669" s="236"/>
      <c r="E669" s="9"/>
      <c r="F669" s="49"/>
      <c r="G669" s="9"/>
      <c r="H669" s="62"/>
      <c r="I669" s="62"/>
      <c r="J669" s="62"/>
      <c r="K669" s="62"/>
      <c r="L669" s="62"/>
      <c r="M669" s="220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</row>
    <row r="670" spans="1:227" s="14" customFormat="1">
      <c r="A670" s="21"/>
      <c r="B670" s="61"/>
      <c r="C670" s="61"/>
      <c r="D670" s="236"/>
      <c r="E670" s="9"/>
      <c r="F670" s="49"/>
      <c r="G670" s="9"/>
      <c r="H670" s="62"/>
      <c r="I670" s="62"/>
      <c r="J670" s="62"/>
      <c r="K670" s="62"/>
      <c r="L670" s="62"/>
      <c r="M670" s="220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</row>
    <row r="671" spans="1:227" s="14" customFormat="1">
      <c r="A671" s="21"/>
      <c r="B671" s="61"/>
      <c r="C671" s="61"/>
      <c r="D671" s="236"/>
      <c r="E671" s="9"/>
      <c r="F671" s="49"/>
      <c r="G671" s="9"/>
      <c r="H671" s="62"/>
      <c r="I671" s="62"/>
      <c r="J671" s="62"/>
      <c r="K671" s="62"/>
      <c r="L671" s="62"/>
      <c r="M671" s="220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</row>
    <row r="672" spans="1:227" s="14" customFormat="1">
      <c r="A672" s="21"/>
      <c r="B672" s="61"/>
      <c r="C672" s="61"/>
      <c r="D672" s="236"/>
      <c r="E672" s="9"/>
      <c r="F672" s="49"/>
      <c r="G672" s="9"/>
      <c r="H672" s="62"/>
      <c r="I672" s="62"/>
      <c r="J672" s="62"/>
      <c r="K672" s="62"/>
      <c r="L672" s="62"/>
      <c r="M672" s="220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</row>
    <row r="673" spans="1:227" s="14" customFormat="1">
      <c r="A673" s="21"/>
      <c r="B673" s="61"/>
      <c r="C673" s="61"/>
      <c r="D673" s="236"/>
      <c r="E673" s="9"/>
      <c r="F673" s="49"/>
      <c r="G673" s="9"/>
      <c r="H673" s="62"/>
      <c r="I673" s="62"/>
      <c r="J673" s="62"/>
      <c r="K673" s="62"/>
      <c r="L673" s="62"/>
      <c r="M673" s="220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</row>
    <row r="674" spans="1:227" s="14" customFormat="1">
      <c r="A674" s="21"/>
      <c r="B674" s="61"/>
      <c r="C674" s="61"/>
      <c r="D674" s="236"/>
      <c r="E674" s="9"/>
      <c r="F674" s="49"/>
      <c r="G674" s="9"/>
      <c r="H674" s="62"/>
      <c r="I674" s="62"/>
      <c r="J674" s="62"/>
      <c r="K674" s="62"/>
      <c r="L674" s="62"/>
      <c r="M674" s="220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</row>
    <row r="675" spans="1:227" s="14" customFormat="1">
      <c r="A675" s="21"/>
      <c r="B675" s="61"/>
      <c r="C675" s="61"/>
      <c r="D675" s="236"/>
      <c r="E675" s="9"/>
      <c r="F675" s="49"/>
      <c r="G675" s="9"/>
      <c r="H675" s="62"/>
      <c r="I675" s="62"/>
      <c r="J675" s="62"/>
      <c r="K675" s="62"/>
      <c r="L675" s="62"/>
      <c r="M675" s="220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</row>
    <row r="676" spans="1:227" s="14" customFormat="1">
      <c r="A676" s="21"/>
      <c r="B676" s="61"/>
      <c r="C676" s="61"/>
      <c r="D676" s="236"/>
      <c r="E676" s="9"/>
      <c r="F676" s="49"/>
      <c r="G676" s="9"/>
      <c r="H676" s="62"/>
      <c r="I676" s="62"/>
      <c r="J676" s="62"/>
      <c r="K676" s="62"/>
      <c r="L676" s="62"/>
      <c r="M676" s="220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</row>
    <row r="677" spans="1:227" s="14" customFormat="1">
      <c r="A677" s="21"/>
      <c r="B677" s="61"/>
      <c r="C677" s="61"/>
      <c r="D677" s="236"/>
      <c r="E677" s="9"/>
      <c r="F677" s="49"/>
      <c r="G677" s="9"/>
      <c r="H677" s="62"/>
      <c r="I677" s="62"/>
      <c r="J677" s="62"/>
      <c r="K677" s="62"/>
      <c r="L677" s="62"/>
      <c r="M677" s="220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</row>
    <row r="678" spans="1:227" s="14" customFormat="1">
      <c r="A678" s="21"/>
      <c r="B678" s="61"/>
      <c r="C678" s="61"/>
      <c r="D678" s="236"/>
      <c r="E678" s="9"/>
      <c r="F678" s="49"/>
      <c r="G678" s="9"/>
      <c r="H678" s="62"/>
      <c r="I678" s="62"/>
      <c r="J678" s="62"/>
      <c r="K678" s="62"/>
      <c r="L678" s="62"/>
      <c r="M678" s="220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</row>
    <row r="679" spans="1:227" s="14" customFormat="1">
      <c r="A679" s="21"/>
      <c r="B679" s="61"/>
      <c r="C679" s="61"/>
      <c r="D679" s="236"/>
      <c r="E679" s="9"/>
      <c r="F679" s="49"/>
      <c r="G679" s="9"/>
      <c r="H679" s="62"/>
      <c r="I679" s="62"/>
      <c r="J679" s="62"/>
      <c r="K679" s="62"/>
      <c r="L679" s="62"/>
      <c r="M679" s="220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</row>
    <row r="680" spans="1:227" s="14" customFormat="1">
      <c r="A680" s="21"/>
      <c r="B680" s="61"/>
      <c r="C680" s="61"/>
      <c r="D680" s="236"/>
      <c r="E680" s="9"/>
      <c r="F680" s="49"/>
      <c r="G680" s="9"/>
      <c r="H680" s="62"/>
      <c r="I680" s="62"/>
      <c r="J680" s="62"/>
      <c r="K680" s="62"/>
      <c r="L680" s="62"/>
      <c r="M680" s="220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</row>
    <row r="681" spans="1:227" s="14" customFormat="1">
      <c r="A681" s="21"/>
      <c r="B681" s="61"/>
      <c r="C681" s="61"/>
      <c r="D681" s="236"/>
      <c r="E681" s="9"/>
      <c r="F681" s="49"/>
      <c r="G681" s="9"/>
      <c r="H681" s="62"/>
      <c r="I681" s="62"/>
      <c r="J681" s="62"/>
      <c r="K681" s="62"/>
      <c r="L681" s="62"/>
      <c r="M681" s="220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</row>
    <row r="682" spans="1:227" s="14" customFormat="1">
      <c r="A682" s="21"/>
      <c r="B682" s="61"/>
      <c r="C682" s="61"/>
      <c r="D682" s="236"/>
      <c r="E682" s="9"/>
      <c r="F682" s="49"/>
      <c r="G682" s="9"/>
      <c r="H682" s="62"/>
      <c r="I682" s="62"/>
      <c r="J682" s="62"/>
      <c r="K682" s="62"/>
      <c r="L682" s="62"/>
      <c r="M682" s="220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</row>
    <row r="683" spans="1:227" s="14" customFormat="1">
      <c r="A683" s="21"/>
      <c r="B683" s="61"/>
      <c r="C683" s="61"/>
      <c r="D683" s="236"/>
      <c r="E683" s="9"/>
      <c r="F683" s="49"/>
      <c r="G683" s="9"/>
      <c r="H683" s="62"/>
      <c r="I683" s="62"/>
      <c r="J683" s="62"/>
      <c r="K683" s="62"/>
      <c r="L683" s="62"/>
      <c r="M683" s="220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</row>
    <row r="684" spans="1:227" s="14" customFormat="1">
      <c r="A684" s="21"/>
      <c r="B684" s="61"/>
      <c r="C684" s="61"/>
      <c r="D684" s="236"/>
      <c r="E684" s="9"/>
      <c r="F684" s="49"/>
      <c r="G684" s="9"/>
      <c r="H684" s="62"/>
      <c r="I684" s="62"/>
      <c r="J684" s="62"/>
      <c r="K684" s="62"/>
      <c r="L684" s="62"/>
      <c r="M684" s="220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</row>
    <row r="685" spans="1:227" s="14" customFormat="1">
      <c r="A685" s="21"/>
      <c r="B685" s="61"/>
      <c r="C685" s="61"/>
      <c r="D685" s="236"/>
      <c r="E685" s="9"/>
      <c r="F685" s="49"/>
      <c r="G685" s="9"/>
      <c r="H685" s="62"/>
      <c r="I685" s="62"/>
      <c r="J685" s="62"/>
      <c r="K685" s="62"/>
      <c r="L685" s="62"/>
      <c r="M685" s="220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</row>
    <row r="686" spans="1:227" s="14" customFormat="1">
      <c r="A686" s="21"/>
      <c r="B686" s="61"/>
      <c r="C686" s="61"/>
      <c r="D686" s="236"/>
      <c r="E686" s="9"/>
      <c r="F686" s="49"/>
      <c r="G686" s="9"/>
      <c r="H686" s="62"/>
      <c r="I686" s="62"/>
      <c r="J686" s="62"/>
      <c r="K686" s="62"/>
      <c r="L686" s="62"/>
      <c r="M686" s="220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</row>
    <row r="687" spans="1:227" s="14" customFormat="1">
      <c r="A687" s="21"/>
      <c r="B687" s="61"/>
      <c r="C687" s="61"/>
      <c r="D687" s="236"/>
      <c r="E687" s="9"/>
      <c r="F687" s="49"/>
      <c r="G687" s="9"/>
      <c r="H687" s="62"/>
      <c r="I687" s="62"/>
      <c r="J687" s="62"/>
      <c r="K687" s="62"/>
      <c r="L687" s="62"/>
      <c r="M687" s="220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</row>
    <row r="688" spans="1:227" s="14" customFormat="1">
      <c r="A688" s="21"/>
      <c r="B688" s="61"/>
      <c r="C688" s="61"/>
      <c r="D688" s="236"/>
      <c r="E688" s="9"/>
      <c r="F688" s="49"/>
      <c r="G688" s="9"/>
      <c r="H688" s="62"/>
      <c r="I688" s="62"/>
      <c r="J688" s="62"/>
      <c r="K688" s="62"/>
      <c r="L688" s="62"/>
      <c r="M688" s="220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</row>
    <row r="689" spans="1:227" s="14" customFormat="1">
      <c r="A689" s="21"/>
      <c r="B689" s="61"/>
      <c r="C689" s="61"/>
      <c r="D689" s="236"/>
      <c r="E689" s="9"/>
      <c r="F689" s="49"/>
      <c r="G689" s="9"/>
      <c r="H689" s="62"/>
      <c r="I689" s="62"/>
      <c r="J689" s="62"/>
      <c r="K689" s="62"/>
      <c r="L689" s="62"/>
      <c r="M689" s="220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</row>
    <row r="690" spans="1:227" s="14" customFormat="1">
      <c r="A690" s="21"/>
      <c r="B690" s="61"/>
      <c r="C690" s="61"/>
      <c r="D690" s="236"/>
      <c r="E690" s="9"/>
      <c r="F690" s="49"/>
      <c r="G690" s="9"/>
      <c r="H690" s="62"/>
      <c r="I690" s="62"/>
      <c r="J690" s="62"/>
      <c r="K690" s="62"/>
      <c r="L690" s="62"/>
      <c r="M690" s="220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</row>
    <row r="691" spans="1:227">
      <c r="A691" s="21"/>
      <c r="B691" s="61"/>
      <c r="C691" s="61"/>
      <c r="D691" s="236"/>
      <c r="E691" s="9"/>
      <c r="G691" s="9"/>
      <c r="H691" s="62"/>
      <c r="I691" s="62"/>
      <c r="J691" s="62"/>
      <c r="K691" s="62"/>
      <c r="L691" s="62"/>
      <c r="M691" s="220"/>
    </row>
    <row r="692" spans="1:227">
      <c r="A692" s="21"/>
      <c r="B692" s="61"/>
      <c r="C692" s="61"/>
      <c r="D692" s="236"/>
      <c r="E692" s="9"/>
      <c r="G692" s="9"/>
      <c r="H692" s="62"/>
      <c r="I692" s="62"/>
      <c r="J692" s="62"/>
      <c r="K692" s="62"/>
      <c r="L692" s="62"/>
      <c r="M692" s="220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</row>
    <row r="693" spans="1:227">
      <c r="A693" s="21"/>
      <c r="B693" s="61"/>
      <c r="C693" s="61"/>
      <c r="D693" s="236"/>
      <c r="E693" s="9"/>
      <c r="G693" s="9"/>
      <c r="H693" s="62"/>
      <c r="I693" s="62"/>
      <c r="J693" s="62"/>
      <c r="K693" s="62"/>
      <c r="L693" s="62"/>
      <c r="M693" s="220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</row>
  </sheetData>
  <autoFilter ref="A5:HT525"/>
  <sortState ref="A474:HV495">
    <sortCondition ref="D474:D495"/>
  </sortState>
  <customSheetViews>
    <customSheetView guid="{9E7D6C7B-D1D2-48A9-88F9-EE0B3178F899}" scale="75" showPageBreaks="1" printArea="1" filter="1" showAutoFilter="1" view="pageBreakPreview" showRuler="0" topLeftCell="A13">
      <pane ySplit="9" topLeftCell="A23" activePane="bottomLeft" state="frozen"/>
      <selection pane="bottomLeft" activeCell="F25" sqref="F25"/>
      <rowBreaks count="2" manualBreakCount="2">
        <brk id="103" max="9" man="1"/>
        <brk id="222" max="9" man="1"/>
      </rowBreaks>
      <colBreaks count="1" manualBreakCount="1">
        <brk id="9" max="318" man="1"/>
      </colBreaks>
      <pageMargins left="0.55000000000000004" right="0.21" top="0.17" bottom="0.16" header="0.17" footer="0.16"/>
      <pageSetup paperSize="9" scale="67" orientation="portrait" r:id="rId1"/>
      <headerFooter alignWithMargins="0"/>
      <autoFilter ref="B1:L1">
        <filterColumn colId="2">
          <customFilters and="1">
            <customFilter operator="notEqual" val=" "/>
          </customFilters>
        </filterColumn>
      </autoFilter>
    </customSheetView>
    <customSheetView guid="{220A40FA-5E40-4B56-945C-ECCF44F8C32E}" scale="75" showPageBreaks="1" filter="1" showAutoFilter="1" view="pageBreakPreview" showRuler="0" topLeftCell="A13">
      <pane ySplit="9" topLeftCell="A133" activePane="bottomLeft" state="frozen"/>
      <selection pane="bottomLeft" activeCell="F13" sqref="F1:F65536"/>
      <rowBreaks count="5" manualBreakCount="5">
        <brk id="91" max="20" man="1"/>
        <brk id="92" max="9" man="1"/>
        <brk id="98" max="9" man="1"/>
        <brk id="209" max="9" man="1"/>
        <brk id="261" max="9" man="1"/>
      </rowBreaks>
      <pageMargins left="0.55000000000000004" right="0.21" top="0.39370078740157483" bottom="0.39370078740157483" header="0.51181102362204722" footer="0.51181102362204722"/>
      <pageSetup paperSize="9" scale="81" orientation="portrait" r:id="rId2"/>
      <headerFooter alignWithMargins="0"/>
      <autoFilter ref="B1:L1">
        <filterColumn colId="2">
          <customFilters and="1">
            <customFilter operator="notEqual" val=" "/>
          </customFilters>
        </filterColumn>
      </autoFilter>
    </customSheetView>
    <customSheetView guid="{CF1F6A07-4C66-41AD-8D09-CAD43D061E52}" showPageBreaks="1" filter="1" showAutoFilter="1" view="pageBreakPreview" showRuler="0" topLeftCell="A13">
      <pane xSplit="2" ySplit="3" topLeftCell="C298" activePane="bottomRight" state="frozen"/>
      <selection pane="bottomRight" activeCell="I229" sqref="I229"/>
      <rowBreaks count="6" manualBreakCount="6">
        <brk id="93" max="20" man="1"/>
        <brk id="97" max="9" man="1"/>
        <brk id="209" max="20" man="1"/>
        <brk id="213" max="20" man="1"/>
        <brk id="220" max="9" man="1"/>
        <brk id="298" max="21" man="1"/>
      </rowBreaks>
      <pageMargins left="0.55000000000000004" right="0.21" top="0.39370078740157483" bottom="0.39370078740157483" header="0.51181102362204722" footer="0.51181102362204722"/>
      <pageSetup paperSize="9" scale="79" orientation="portrait" r:id="rId3"/>
      <headerFooter alignWithMargins="0"/>
      <autoFilter ref="B1:L1">
        <filterColumn colId="2">
          <customFilters and="1">
            <customFilter operator="notEqual" val=" "/>
          </customFilters>
        </filterColumn>
      </autoFilter>
    </customSheetView>
    <customSheetView guid="{5A8793E0-72A3-11D8-916C-00E04C7806EB}" scale="75" showPageBreaks="1" printArea="1" showAutoFilter="1" hiddenRows="1" hiddenColumns="1" view="pageBreakPreview" showRuler="0" topLeftCell="A13">
      <pane xSplit="1.9047619047619047" ySplit="3" topLeftCell="C203" activePane="bottomRight" state="frozen"/>
      <selection pane="bottomRight" activeCell="M238" sqref="M238"/>
      <rowBreaks count="3" manualBreakCount="3">
        <brk id="91" max="8" man="1"/>
        <brk id="215" max="8" man="1"/>
        <brk id="281" max="21" man="1"/>
      </rowBreaks>
      <colBreaks count="1" manualBreakCount="1">
        <brk id="9" max="1048575" man="1"/>
      </colBreaks>
      <pageMargins left="0.64" right="0.21" top="0.39370078740157483" bottom="0.39370078740157483" header="0.51181102362204722" footer="0.51181102362204722"/>
      <pageSetup paperSize="9" scale="85" orientation="portrait" r:id="rId4"/>
      <headerFooter alignWithMargins="0"/>
      <autoFilter ref="B1:L1"/>
    </customSheetView>
    <customSheetView guid="{7A4385F3-B58C-4991-AB9A-DA85C1BCDB97}" showPageBreaks="1" filter="1" showAutoFilter="1" view="pageBreakPreview" showRuler="0" topLeftCell="A13">
      <pane xSplit="2" ySplit="3" topLeftCell="C16" activePane="bottomRight" state="frozen"/>
      <selection pane="bottomRight" activeCell="G25" sqref="G25"/>
      <rowBreaks count="3" manualBreakCount="3">
        <brk id="97" max="9" man="1"/>
        <brk id="220" max="9" man="1"/>
        <brk id="293" max="21" man="1"/>
      </rowBreaks>
      <pageMargins left="0.55000000000000004" right="0.21" top="0.39370078740157483" bottom="0.39370078740157483" header="0.51181102362204722" footer="0.51181102362204722"/>
      <pageSetup paperSize="9" scale="79" orientation="portrait" r:id="rId5"/>
      <headerFooter alignWithMargins="0"/>
      <autoFilter ref="B1:L1">
        <filterColumn colId="2">
          <customFilters and="1">
            <customFilter operator="notEqual" val=" "/>
          </customFilters>
        </filterColumn>
      </autoFilter>
    </customSheetView>
    <customSheetView guid="{1C9EE395-06A1-41D5-9B75-3DA9A451808D}" showPageBreaks="1" printArea="1" filter="1" showAutoFilter="1" view="pageBreakPreview" showRuler="0" topLeftCell="A13">
      <pane ySplit="9" topLeftCell="A23" activePane="bottomLeft" state="frozen"/>
      <selection pane="bottomLeft" activeCell="I90" sqref="I90"/>
      <rowBreaks count="4" manualBreakCount="4">
        <brk id="101" max="9" man="1"/>
        <brk id="225" max="9" man="1"/>
        <brk id="227" max="9" man="1"/>
        <brk id="300" max="21" man="1"/>
      </rowBreaks>
      <colBreaks count="1" manualBreakCount="1">
        <brk id="10" max="1048575" man="1"/>
      </colBreaks>
      <pageMargins left="0.55000000000000004" right="0.21" top="0.39370078740157483" bottom="0.39370078740157483" header="0.51181102362204722" footer="0.51181102362204722"/>
      <pageSetup paperSize="9" scale="67" orientation="portrait" r:id="rId6"/>
      <headerFooter alignWithMargins="0"/>
      <autoFilter ref="B1:L1">
        <filterColumn colId="2">
          <customFilters and="1">
            <customFilter operator="notEqual" val=" "/>
          </customFilters>
        </filterColumn>
      </autoFilter>
    </customSheetView>
    <customSheetView guid="{55A15CA5-C908-11D9-BCFF-00E04C0A8254}" showPageBreaks="1" filter="1" showAutoFilter="1" view="pageBreakPreview" showRuler="0" topLeftCell="A29">
      <selection activeCell="C40" sqref="C40"/>
      <rowBreaks count="4" manualBreakCount="4">
        <brk id="62" max="9" man="1"/>
        <brk id="148" max="9" man="1"/>
        <brk id="244" max="9" man="1"/>
        <brk id="299" max="21" man="1"/>
      </rowBreaks>
      <colBreaks count="2" manualBreakCount="2">
        <brk id="8" max="318" man="1"/>
        <brk id="10" max="1048575" man="1"/>
      </colBreaks>
      <pageMargins left="0.54" right="0.21" top="0.39" bottom="0.39" header="0.31" footer="0.26"/>
      <pageSetup paperSize="9" scale="95" orientation="portrait" r:id="rId7"/>
      <headerFooter alignWithMargins="0"/>
      <autoFilter ref="B1:L1">
        <filterColumn colId="2">
          <customFilters and="1">
            <customFilter operator="notEqual" val=" "/>
          </customFilters>
        </filterColumn>
      </autoFilter>
    </customSheetView>
    <customSheetView guid="{1CA30FA5-7361-11D8-8E7B-009027AEEA37}" scale="75" showPageBreaks="1" printArea="1" filter="1" showAutoFilter="1" hiddenColumns="1" view="pageBreakPreview" showRuler="0" topLeftCell="A4">
      <selection activeCell="A10" sqref="A10:I10"/>
      <rowBreaks count="3" manualBreakCount="3">
        <brk id="88" max="9" man="1"/>
        <brk id="193" max="9" man="1"/>
        <brk id="262" max="9" man="1"/>
      </rowBreaks>
      <pageMargins left="0.62992125984251968" right="0.19685039370078741" top="0.15748031496062992" bottom="0.23622047244094491" header="0.15748031496062992" footer="0.19685039370078741"/>
      <pageSetup paperSize="9" scale="78" orientation="portrait" r:id="rId8"/>
      <headerFooter alignWithMargins="0"/>
      <autoFilter ref="B1:L1">
        <filterColumn colId="2">
          <customFilters and="1">
            <customFilter operator="notEqual" val=" "/>
          </customFilters>
        </filterColumn>
      </autoFilter>
    </customSheetView>
    <customSheetView guid="{20D34181-72C1-11D8-96EF-0080481CE252}" showPageBreaks="1" filter="1" showAutoFilter="1" view="pageBreakPreview" showRuler="0" topLeftCell="A13">
      <selection activeCell="C40" sqref="C40"/>
      <rowBreaks count="5" manualBreakCount="5">
        <brk id="62" max="9" man="1"/>
        <brk id="147" max="20" man="1"/>
        <brk id="148" max="9" man="1"/>
        <brk id="244" max="9" man="1"/>
        <brk id="299" max="21" man="1"/>
      </rowBreaks>
      <colBreaks count="2" manualBreakCount="2">
        <brk id="8" max="318" man="1"/>
        <brk id="10" max="1048575" man="1"/>
      </colBreaks>
      <pageMargins left="0.54" right="0.21" top="0.39" bottom="0.39" header="0.31" footer="0.26"/>
      <pageSetup paperSize="9" scale="95" orientation="portrait" r:id="rId9"/>
      <headerFooter alignWithMargins="0"/>
      <autoFilter ref="B1:L1">
        <filterColumn colId="2">
          <customFilters and="1">
            <customFilter operator="notEqual" val=" "/>
          </customFilters>
        </filterColumn>
      </autoFilter>
    </customSheetView>
  </customSheetViews>
  <mergeCells count="25">
    <mergeCell ref="B3:M3"/>
    <mergeCell ref="B1:E2"/>
    <mergeCell ref="L4:M4"/>
    <mergeCell ref="I494:I495"/>
    <mergeCell ref="J494:J495"/>
    <mergeCell ref="K494:K495"/>
    <mergeCell ref="L494:L495"/>
    <mergeCell ref="B494:B495"/>
    <mergeCell ref="C494:C495"/>
    <mergeCell ref="D494:D495"/>
    <mergeCell ref="E494:E495"/>
    <mergeCell ref="F494:F495"/>
    <mergeCell ref="B15:B16"/>
    <mergeCell ref="C15:C16"/>
    <mergeCell ref="D15:D16"/>
    <mergeCell ref="E15:E16"/>
    <mergeCell ref="L15:L16"/>
    <mergeCell ref="M494:M495"/>
    <mergeCell ref="M15:M16"/>
    <mergeCell ref="G494:G495"/>
    <mergeCell ref="F15:F16"/>
    <mergeCell ref="G15:G16"/>
    <mergeCell ref="I15:I16"/>
    <mergeCell ref="J15:J16"/>
    <mergeCell ref="K15:K16"/>
  </mergeCells>
  <phoneticPr fontId="0" type="noConversion"/>
  <pageMargins left="0.19685039370078741" right="0.19685039370078741" top="0.15748031496062992" bottom="0.15748031496062992" header="0.15748031496062992" footer="0.15748031496062992"/>
  <pageSetup paperSize="9" scale="43" orientation="landscape" r:id="rId10"/>
  <headerFooter alignWithMargins="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97"/>
  <sheetViews>
    <sheetView topLeftCell="A175" workbookViewId="0">
      <selection activeCell="C354" sqref="C354"/>
    </sheetView>
  </sheetViews>
  <sheetFormatPr defaultRowHeight="12.75"/>
  <cols>
    <col min="1" max="1" width="18.28515625" bestFit="1" customWidth="1"/>
    <col min="2" max="2" width="14.28515625" customWidth="1"/>
    <col min="3" max="3" width="28.140625" customWidth="1"/>
    <col min="4" max="4" width="16.5703125" customWidth="1"/>
    <col min="5" max="5" width="30.7109375" customWidth="1"/>
  </cols>
  <sheetData>
    <row r="3" spans="1:5">
      <c r="B3" s="353" t="s">
        <v>1316</v>
      </c>
    </row>
    <row r="4" spans="1:5">
      <c r="A4" s="353" t="s">
        <v>1313</v>
      </c>
      <c r="B4" t="s">
        <v>1318</v>
      </c>
      <c r="C4" t="s">
        <v>1317</v>
      </c>
      <c r="D4" t="s">
        <v>1320</v>
      </c>
      <c r="E4" t="s">
        <v>1319</v>
      </c>
    </row>
    <row r="5" spans="1:5">
      <c r="A5" s="354">
        <v>9010</v>
      </c>
      <c r="B5" s="355">
        <v>5763</v>
      </c>
      <c r="C5" s="355">
        <v>5186.7</v>
      </c>
      <c r="D5" s="355">
        <v>7203.75</v>
      </c>
      <c r="E5" s="355">
        <v>6123.1875</v>
      </c>
    </row>
    <row r="6" spans="1:5">
      <c r="A6" s="354" t="s">
        <v>472</v>
      </c>
      <c r="B6" s="355">
        <v>4641</v>
      </c>
      <c r="C6" s="355">
        <v>4176.9000000000005</v>
      </c>
      <c r="D6" s="355">
        <v>5801.25</v>
      </c>
      <c r="E6" s="355">
        <v>4931.0625</v>
      </c>
    </row>
    <row r="7" spans="1:5">
      <c r="A7" s="354" t="s">
        <v>108</v>
      </c>
      <c r="B7" s="355">
        <v>50</v>
      </c>
      <c r="C7" s="355">
        <v>45</v>
      </c>
      <c r="D7" s="355">
        <v>60</v>
      </c>
      <c r="E7" s="355">
        <v>51</v>
      </c>
    </row>
    <row r="8" spans="1:5">
      <c r="A8" s="354" t="s">
        <v>796</v>
      </c>
      <c r="B8" s="355">
        <v>180</v>
      </c>
      <c r="C8" s="355">
        <v>162</v>
      </c>
      <c r="D8" s="355">
        <v>225</v>
      </c>
      <c r="E8" s="355">
        <v>191.25</v>
      </c>
    </row>
    <row r="9" spans="1:5">
      <c r="A9" s="354" t="s">
        <v>595</v>
      </c>
      <c r="B9" s="355">
        <v>6201.6</v>
      </c>
      <c r="C9" s="355">
        <v>5581.4400000000005</v>
      </c>
      <c r="D9" s="355">
        <v>7752</v>
      </c>
      <c r="E9" s="355">
        <v>6589.2</v>
      </c>
    </row>
    <row r="10" spans="1:5">
      <c r="A10" s="354" t="s">
        <v>596</v>
      </c>
      <c r="B10" s="355">
        <v>8721</v>
      </c>
      <c r="C10" s="355">
        <v>7848.9000000000005</v>
      </c>
      <c r="D10" s="355">
        <v>10901.25</v>
      </c>
      <c r="E10" s="355">
        <v>9266.0625</v>
      </c>
    </row>
    <row r="11" spans="1:5">
      <c r="A11" s="354" t="s">
        <v>599</v>
      </c>
      <c r="B11" s="355">
        <v>7344</v>
      </c>
      <c r="C11" s="355">
        <v>6609.6</v>
      </c>
      <c r="D11" s="355">
        <v>9180</v>
      </c>
      <c r="E11" s="355">
        <v>7803</v>
      </c>
    </row>
    <row r="12" spans="1:5">
      <c r="A12" s="354" t="s">
        <v>604</v>
      </c>
      <c r="B12" s="355">
        <v>10404</v>
      </c>
      <c r="C12" s="355">
        <v>9363.6</v>
      </c>
      <c r="D12" s="355">
        <v>13005</v>
      </c>
      <c r="E12" s="355">
        <v>11054.25</v>
      </c>
    </row>
    <row r="13" spans="1:5">
      <c r="A13" s="354" t="s">
        <v>608</v>
      </c>
      <c r="B13" s="355">
        <v>6089.4000000000005</v>
      </c>
      <c r="C13" s="355">
        <v>5373</v>
      </c>
      <c r="D13" s="355">
        <v>7460</v>
      </c>
      <c r="E13" s="355">
        <v>6341</v>
      </c>
    </row>
    <row r="14" spans="1:5">
      <c r="A14" s="354" t="s">
        <v>609</v>
      </c>
      <c r="B14" s="355">
        <v>7252.2</v>
      </c>
      <c r="C14" s="355">
        <v>6526.98</v>
      </c>
      <c r="D14" s="355">
        <v>9065.25</v>
      </c>
      <c r="E14" s="355">
        <v>7705.4624999999996</v>
      </c>
    </row>
    <row r="15" spans="1:5">
      <c r="A15" s="354" t="s">
        <v>610</v>
      </c>
      <c r="B15" s="355">
        <v>7344</v>
      </c>
      <c r="C15" s="355">
        <v>6609.6</v>
      </c>
      <c r="D15" s="355">
        <v>9180</v>
      </c>
      <c r="E15" s="355">
        <v>7803</v>
      </c>
    </row>
    <row r="16" spans="1:5">
      <c r="A16" s="354" t="s">
        <v>611</v>
      </c>
      <c r="B16" s="355">
        <v>7344</v>
      </c>
      <c r="C16" s="355">
        <v>6609.6</v>
      </c>
      <c r="D16" s="355">
        <v>9180</v>
      </c>
      <c r="E16" s="355">
        <v>7803</v>
      </c>
    </row>
    <row r="17" spans="1:5">
      <c r="A17" s="354" t="s">
        <v>819</v>
      </c>
      <c r="B17" s="355">
        <v>10822.2</v>
      </c>
      <c r="C17" s="355">
        <v>9739.9800000000014</v>
      </c>
      <c r="D17" s="355">
        <v>13527.75</v>
      </c>
      <c r="E17" s="355">
        <v>11498.5875</v>
      </c>
    </row>
    <row r="18" spans="1:5">
      <c r="A18" s="354" t="s">
        <v>703</v>
      </c>
      <c r="B18" s="355">
        <v>5497.8</v>
      </c>
      <c r="C18" s="355">
        <v>4948.0200000000004</v>
      </c>
      <c r="D18" s="355">
        <v>6872.25</v>
      </c>
      <c r="E18" s="355">
        <v>5841.4124999999995</v>
      </c>
    </row>
    <row r="19" spans="1:5">
      <c r="A19" s="354" t="s">
        <v>707</v>
      </c>
      <c r="B19" s="355">
        <v>6844.2</v>
      </c>
      <c r="C19" s="355">
        <v>6159.78</v>
      </c>
      <c r="D19" s="355">
        <v>8555.25</v>
      </c>
      <c r="E19" s="355">
        <v>7271.9624999999996</v>
      </c>
    </row>
    <row r="20" spans="1:5">
      <c r="A20" s="354" t="s">
        <v>711</v>
      </c>
      <c r="B20" s="355">
        <v>10149</v>
      </c>
      <c r="C20" s="355">
        <v>9134.1</v>
      </c>
      <c r="D20" s="355">
        <v>12686.25</v>
      </c>
      <c r="E20" s="355">
        <v>10783.3125</v>
      </c>
    </row>
    <row r="21" spans="1:5">
      <c r="A21" s="354" t="s">
        <v>630</v>
      </c>
      <c r="B21" s="355">
        <v>6293.4000000000005</v>
      </c>
      <c r="C21" s="355">
        <v>5664.06</v>
      </c>
      <c r="D21" s="355">
        <v>7866.7500000000009</v>
      </c>
      <c r="E21" s="355">
        <v>6686.7375000000002</v>
      </c>
    </row>
    <row r="22" spans="1:5">
      <c r="A22" s="354" t="s">
        <v>632</v>
      </c>
      <c r="B22" s="355">
        <v>7344</v>
      </c>
      <c r="C22" s="355">
        <v>6480</v>
      </c>
      <c r="D22" s="355">
        <v>9000</v>
      </c>
      <c r="E22" s="355">
        <v>7650</v>
      </c>
    </row>
    <row r="23" spans="1:5">
      <c r="A23" s="354" t="s">
        <v>1050</v>
      </c>
      <c r="B23" s="355">
        <v>6783</v>
      </c>
      <c r="C23" s="355">
        <v>6104.7</v>
      </c>
      <c r="D23" s="355">
        <v>8478.75</v>
      </c>
      <c r="E23" s="355">
        <v>7206.9375</v>
      </c>
    </row>
    <row r="24" spans="1:5">
      <c r="A24" s="354" t="s">
        <v>1051</v>
      </c>
      <c r="B24" s="355">
        <v>5763</v>
      </c>
      <c r="C24" s="355">
        <v>5186.7</v>
      </c>
      <c r="D24" s="355">
        <v>7203.75</v>
      </c>
      <c r="E24" s="355">
        <v>6123.1875</v>
      </c>
    </row>
    <row r="25" spans="1:5">
      <c r="A25" s="354" t="s">
        <v>1052</v>
      </c>
      <c r="B25" s="355">
        <v>6436.2</v>
      </c>
      <c r="C25" s="355">
        <v>5792.58</v>
      </c>
      <c r="D25" s="355">
        <v>8045.25</v>
      </c>
      <c r="E25" s="355">
        <v>6838.4624999999996</v>
      </c>
    </row>
    <row r="26" spans="1:5">
      <c r="A26" s="354" t="s">
        <v>1057</v>
      </c>
      <c r="B26" s="355">
        <v>3886.2000000000003</v>
      </c>
      <c r="C26" s="355">
        <v>3497.5800000000004</v>
      </c>
      <c r="D26" s="355">
        <v>4857.75</v>
      </c>
      <c r="E26" s="355">
        <v>4129.0874999999996</v>
      </c>
    </row>
    <row r="27" spans="1:5">
      <c r="A27" s="354" t="s">
        <v>1056</v>
      </c>
      <c r="B27" s="355">
        <v>5059.2</v>
      </c>
      <c r="C27" s="355">
        <v>4553.28</v>
      </c>
      <c r="D27" s="355">
        <v>6324</v>
      </c>
      <c r="E27" s="355">
        <v>5375.4</v>
      </c>
    </row>
    <row r="28" spans="1:5">
      <c r="A28" s="354" t="s">
        <v>1062</v>
      </c>
      <c r="B28" s="355">
        <v>5661</v>
      </c>
      <c r="C28" s="355">
        <v>5094.9000000000005</v>
      </c>
      <c r="D28" s="355">
        <v>7076.25</v>
      </c>
      <c r="E28" s="355">
        <v>6014.8125</v>
      </c>
    </row>
    <row r="29" spans="1:5">
      <c r="A29" s="354" t="s">
        <v>1059</v>
      </c>
      <c r="B29" s="355">
        <v>4304.3999999999996</v>
      </c>
      <c r="C29" s="355">
        <v>3873.9599999999996</v>
      </c>
      <c r="D29" s="355">
        <v>5380.5</v>
      </c>
      <c r="E29" s="355">
        <v>4573.4250000000002</v>
      </c>
    </row>
    <row r="30" spans="1:5">
      <c r="A30" s="354" t="s">
        <v>1058</v>
      </c>
      <c r="B30" s="355">
        <v>2242.98</v>
      </c>
      <c r="C30" s="355" t="e">
        <v>#DIV/0!</v>
      </c>
      <c r="D30" s="355">
        <v>2803.7249999999999</v>
      </c>
      <c r="E30" s="355"/>
    </row>
    <row r="31" spans="1:5">
      <c r="A31" s="354" t="s">
        <v>1053</v>
      </c>
      <c r="B31" s="355">
        <v>5559</v>
      </c>
      <c r="C31" s="355">
        <v>5003.1000000000004</v>
      </c>
      <c r="D31" s="355">
        <v>6948.75</v>
      </c>
      <c r="E31" s="355">
        <v>5906.4375</v>
      </c>
    </row>
    <row r="32" spans="1:5">
      <c r="A32" s="354" t="s">
        <v>1060</v>
      </c>
      <c r="B32" s="355">
        <v>4885.8</v>
      </c>
      <c r="C32" s="355">
        <v>4397.22</v>
      </c>
      <c r="D32" s="355">
        <v>6107.25</v>
      </c>
      <c r="E32" s="355">
        <v>5191.1624999999995</v>
      </c>
    </row>
    <row r="33" spans="1:5">
      <c r="A33" s="354" t="s">
        <v>1055</v>
      </c>
      <c r="B33" s="355">
        <v>5967</v>
      </c>
      <c r="C33" s="355">
        <v>5370.3</v>
      </c>
      <c r="D33" s="355">
        <v>7458.75</v>
      </c>
      <c r="E33" s="355">
        <v>6339.9375</v>
      </c>
    </row>
    <row r="34" spans="1:5">
      <c r="A34" s="354" t="s">
        <v>1063</v>
      </c>
      <c r="B34" s="355">
        <v>5661</v>
      </c>
      <c r="C34" s="355">
        <v>5094.9000000000005</v>
      </c>
      <c r="D34" s="355">
        <v>7076.25</v>
      </c>
      <c r="E34" s="355">
        <v>6014.8125</v>
      </c>
    </row>
    <row r="35" spans="1:5">
      <c r="A35" s="354" t="s">
        <v>1061</v>
      </c>
      <c r="B35" s="355">
        <v>5997.6</v>
      </c>
      <c r="C35" s="355">
        <v>5397.84</v>
      </c>
      <c r="D35" s="355">
        <v>7497</v>
      </c>
      <c r="E35" s="355">
        <v>6372.45</v>
      </c>
    </row>
    <row r="36" spans="1:5">
      <c r="A36" s="354" t="s">
        <v>1054</v>
      </c>
      <c r="B36" s="355">
        <v>5844.6</v>
      </c>
      <c r="C36" s="355">
        <v>5260.14</v>
      </c>
      <c r="D36" s="355">
        <v>7305.75</v>
      </c>
      <c r="E36" s="355">
        <v>6209.8874999999998</v>
      </c>
    </row>
    <row r="37" spans="1:5">
      <c r="A37" s="354" t="s">
        <v>1071</v>
      </c>
      <c r="B37" s="355">
        <v>4222.8</v>
      </c>
      <c r="C37" s="355">
        <v>3800.5200000000004</v>
      </c>
      <c r="D37" s="355">
        <v>5278.5</v>
      </c>
      <c r="E37" s="355">
        <v>4486.7249999999995</v>
      </c>
    </row>
    <row r="38" spans="1:5">
      <c r="A38" s="354" t="s">
        <v>1074</v>
      </c>
      <c r="B38" s="355">
        <v>4957.2</v>
      </c>
      <c r="C38" s="355">
        <v>4461.4799999999996</v>
      </c>
      <c r="D38" s="355">
        <v>6196.5</v>
      </c>
      <c r="E38" s="355">
        <v>5267.0249999999996</v>
      </c>
    </row>
    <row r="39" spans="1:5">
      <c r="A39" s="354" t="s">
        <v>1070</v>
      </c>
      <c r="B39" s="355">
        <v>4712.3999999999996</v>
      </c>
      <c r="C39" s="355">
        <v>4241.16</v>
      </c>
      <c r="D39" s="355">
        <v>5890.5</v>
      </c>
      <c r="E39" s="355">
        <v>5006.9250000000002</v>
      </c>
    </row>
    <row r="40" spans="1:5">
      <c r="A40" s="354" t="s">
        <v>1075</v>
      </c>
      <c r="B40" s="355">
        <v>6191.4000000000005</v>
      </c>
      <c r="C40" s="355">
        <v>5572.26</v>
      </c>
      <c r="D40" s="355">
        <v>7739.2500000000009</v>
      </c>
      <c r="E40" s="355">
        <v>6578.3625000000002</v>
      </c>
    </row>
    <row r="41" spans="1:5">
      <c r="A41" s="354" t="s">
        <v>1073</v>
      </c>
      <c r="B41" s="355">
        <v>5700</v>
      </c>
      <c r="C41" s="355">
        <v>5130</v>
      </c>
      <c r="D41" s="355">
        <v>7125</v>
      </c>
      <c r="E41" s="355">
        <v>6056.25</v>
      </c>
    </row>
    <row r="42" spans="1:5">
      <c r="A42" s="354" t="s">
        <v>1069</v>
      </c>
      <c r="B42" s="355">
        <v>5752.8</v>
      </c>
      <c r="C42" s="355">
        <v>5177.5200000000004</v>
      </c>
      <c r="D42" s="355">
        <v>7191</v>
      </c>
      <c r="E42" s="355">
        <v>6112.3499999999995</v>
      </c>
    </row>
    <row r="43" spans="1:5">
      <c r="A43" s="354" t="s">
        <v>1076</v>
      </c>
      <c r="B43" s="355">
        <v>5834.4000000000005</v>
      </c>
      <c r="C43" s="355">
        <v>5250.9600000000009</v>
      </c>
      <c r="D43" s="355">
        <v>7293.0000000000009</v>
      </c>
      <c r="E43" s="355">
        <v>6199.05</v>
      </c>
    </row>
    <row r="44" spans="1:5">
      <c r="A44" s="354" t="s">
        <v>1068</v>
      </c>
      <c r="B44" s="355">
        <v>5304</v>
      </c>
      <c r="C44" s="355">
        <v>4773.6000000000004</v>
      </c>
      <c r="D44" s="355">
        <v>6630</v>
      </c>
      <c r="E44" s="355">
        <v>5635.5</v>
      </c>
    </row>
    <row r="45" spans="1:5">
      <c r="A45" s="354" t="s">
        <v>1067</v>
      </c>
      <c r="B45" s="355">
        <v>5671.2</v>
      </c>
      <c r="C45" s="355">
        <v>5104.08</v>
      </c>
      <c r="D45" s="355">
        <v>7089</v>
      </c>
      <c r="E45" s="355">
        <v>6025.65</v>
      </c>
    </row>
    <row r="46" spans="1:5">
      <c r="A46" s="354" t="s">
        <v>1072</v>
      </c>
      <c r="B46" s="355">
        <v>4222.8</v>
      </c>
      <c r="C46" s="355">
        <v>3800.5200000000004</v>
      </c>
      <c r="D46" s="355">
        <v>5278.5</v>
      </c>
      <c r="E46" s="355">
        <v>4486.7249999999995</v>
      </c>
    </row>
    <row r="47" spans="1:5">
      <c r="A47" s="354" t="s">
        <v>1187</v>
      </c>
      <c r="B47" s="355">
        <v>4400</v>
      </c>
      <c r="C47" s="355">
        <v>3960</v>
      </c>
      <c r="D47" s="355">
        <v>5500</v>
      </c>
      <c r="E47" s="355">
        <v>4675</v>
      </c>
    </row>
    <row r="48" spans="1:5">
      <c r="A48" s="354" t="s">
        <v>1224</v>
      </c>
      <c r="B48" s="355">
        <v>8884.2000000000007</v>
      </c>
      <c r="C48" s="355">
        <v>7995.7800000000007</v>
      </c>
      <c r="D48" s="355">
        <v>11105.25</v>
      </c>
      <c r="E48" s="355">
        <v>9439.4624999999996</v>
      </c>
    </row>
    <row r="49" spans="1:5">
      <c r="A49" s="354" t="s">
        <v>1079</v>
      </c>
      <c r="B49" s="355">
        <v>4824.6000000000004</v>
      </c>
      <c r="C49" s="355">
        <v>4342.1400000000003</v>
      </c>
      <c r="D49" s="355">
        <v>6030.75</v>
      </c>
      <c r="E49" s="355">
        <v>5126.1374999999998</v>
      </c>
    </row>
    <row r="50" spans="1:5">
      <c r="A50" s="354" t="s">
        <v>1077</v>
      </c>
      <c r="B50" s="355">
        <v>5232.6000000000004</v>
      </c>
      <c r="C50" s="355">
        <v>4709.34</v>
      </c>
      <c r="D50" s="355">
        <v>6540.75</v>
      </c>
      <c r="E50" s="355">
        <v>5559.6374999999998</v>
      </c>
    </row>
    <row r="51" spans="1:5">
      <c r="A51" s="354" t="s">
        <v>1080</v>
      </c>
      <c r="B51" s="355">
        <v>6069</v>
      </c>
      <c r="C51" s="355">
        <v>5462.1</v>
      </c>
      <c r="D51" s="355">
        <v>7586.25</v>
      </c>
      <c r="E51" s="355">
        <v>6448.3125</v>
      </c>
    </row>
    <row r="52" spans="1:5">
      <c r="A52" s="354" t="s">
        <v>1083</v>
      </c>
      <c r="B52" s="355">
        <v>5263.2</v>
      </c>
      <c r="C52" s="355">
        <v>4736.88</v>
      </c>
      <c r="D52" s="355">
        <v>6579</v>
      </c>
      <c r="E52" s="355">
        <v>5592.15</v>
      </c>
    </row>
    <row r="53" spans="1:5">
      <c r="A53" s="354" t="s">
        <v>1085</v>
      </c>
      <c r="B53" s="355">
        <v>4579.8</v>
      </c>
      <c r="C53" s="355">
        <v>4121.8200000000006</v>
      </c>
      <c r="D53" s="355">
        <v>5724.75</v>
      </c>
      <c r="E53" s="355">
        <v>4866.0374999999995</v>
      </c>
    </row>
    <row r="54" spans="1:5">
      <c r="A54" s="354" t="s">
        <v>1078</v>
      </c>
      <c r="B54" s="355">
        <v>4110.6000000000004</v>
      </c>
      <c r="C54" s="355">
        <v>3699.5400000000004</v>
      </c>
      <c r="D54" s="355">
        <v>5138.25</v>
      </c>
      <c r="E54" s="355">
        <v>4367.5124999999998</v>
      </c>
    </row>
    <row r="55" spans="1:5">
      <c r="A55" s="354" t="s">
        <v>1081</v>
      </c>
      <c r="B55" s="355">
        <v>4069.8</v>
      </c>
      <c r="C55" s="355">
        <v>3662.82</v>
      </c>
      <c r="D55" s="355">
        <v>5087.25</v>
      </c>
      <c r="E55" s="355">
        <v>4324.1624999999995</v>
      </c>
    </row>
    <row r="56" spans="1:5">
      <c r="A56" s="354" t="s">
        <v>1086</v>
      </c>
      <c r="B56" s="355">
        <v>5457</v>
      </c>
      <c r="C56" s="355">
        <v>4911.3</v>
      </c>
      <c r="D56" s="355">
        <v>6821.25</v>
      </c>
      <c r="E56" s="355">
        <v>5798.0625</v>
      </c>
    </row>
    <row r="57" spans="1:5">
      <c r="A57" s="354" t="s">
        <v>1082</v>
      </c>
      <c r="B57" s="355">
        <v>4610.3999999999996</v>
      </c>
      <c r="C57" s="355">
        <v>4149.3599999999997</v>
      </c>
      <c r="D57" s="355">
        <v>5763</v>
      </c>
      <c r="E57" s="355">
        <v>4898.55</v>
      </c>
    </row>
    <row r="58" spans="1:5">
      <c r="A58" s="354" t="s">
        <v>1135</v>
      </c>
      <c r="B58" s="355">
        <v>4569.6000000000004</v>
      </c>
      <c r="C58" s="355">
        <v>4112.6400000000003</v>
      </c>
      <c r="D58" s="355">
        <v>5712</v>
      </c>
      <c r="E58" s="355">
        <v>4855.2</v>
      </c>
    </row>
    <row r="59" spans="1:5">
      <c r="A59" s="354" t="s">
        <v>1141</v>
      </c>
      <c r="B59" s="355">
        <v>7058.4000000000005</v>
      </c>
      <c r="C59" s="355">
        <v>6352.56</v>
      </c>
      <c r="D59" s="355">
        <v>8823</v>
      </c>
      <c r="E59" s="355">
        <v>7499.55</v>
      </c>
    </row>
    <row r="60" spans="1:5">
      <c r="A60" s="354" t="s">
        <v>827</v>
      </c>
      <c r="B60" s="355">
        <v>5416.2</v>
      </c>
      <c r="C60" s="355">
        <v>4874.58</v>
      </c>
      <c r="D60" s="355">
        <v>6770.25</v>
      </c>
      <c r="E60" s="355">
        <v>5754.7124999999987</v>
      </c>
    </row>
    <row r="61" spans="1:5">
      <c r="A61" s="354" t="s">
        <v>1084</v>
      </c>
      <c r="B61" s="355">
        <v>6681</v>
      </c>
      <c r="C61" s="355">
        <v>6012.9000000000005</v>
      </c>
      <c r="D61" s="355">
        <v>8351.25</v>
      </c>
      <c r="E61" s="355">
        <v>7098.5625</v>
      </c>
    </row>
    <row r="62" spans="1:5">
      <c r="A62" s="354" t="s">
        <v>1065</v>
      </c>
      <c r="B62" s="355">
        <v>9078</v>
      </c>
      <c r="C62" s="355">
        <v>8170.2</v>
      </c>
      <c r="D62" s="355">
        <v>11347.5</v>
      </c>
      <c r="E62" s="355">
        <v>9645.375</v>
      </c>
    </row>
    <row r="63" spans="1:5">
      <c r="A63" s="354" t="s">
        <v>1131</v>
      </c>
      <c r="B63" s="355">
        <v>7303.2</v>
      </c>
      <c r="C63" s="355">
        <v>6572.88</v>
      </c>
      <c r="D63" s="355">
        <v>9129</v>
      </c>
      <c r="E63" s="355">
        <v>7759.65</v>
      </c>
    </row>
    <row r="64" spans="1:5">
      <c r="A64" s="354" t="s">
        <v>1139</v>
      </c>
      <c r="B64" s="355">
        <v>6262.8</v>
      </c>
      <c r="C64" s="355">
        <v>5636.52</v>
      </c>
      <c r="D64" s="355">
        <v>7828.5</v>
      </c>
      <c r="E64" s="355">
        <v>6654.2249999999995</v>
      </c>
    </row>
    <row r="65" spans="1:5">
      <c r="A65" s="354" t="s">
        <v>1142</v>
      </c>
      <c r="B65" s="355">
        <v>5691.6</v>
      </c>
      <c r="C65" s="355">
        <v>5122.4400000000005</v>
      </c>
      <c r="D65" s="355">
        <v>7114.5</v>
      </c>
      <c r="E65" s="355">
        <v>6047.3249999999998</v>
      </c>
    </row>
    <row r="66" spans="1:5">
      <c r="A66" s="354" t="s">
        <v>1136</v>
      </c>
      <c r="B66" s="355">
        <v>5436.6</v>
      </c>
      <c r="C66" s="355">
        <v>4892.9400000000005</v>
      </c>
      <c r="D66" s="355">
        <v>6795.75</v>
      </c>
      <c r="E66" s="355">
        <v>5776.3874999999998</v>
      </c>
    </row>
    <row r="67" spans="1:5">
      <c r="A67" s="354" t="s">
        <v>1140</v>
      </c>
      <c r="B67" s="355">
        <v>5446.8</v>
      </c>
      <c r="C67" s="355">
        <v>4902.12</v>
      </c>
      <c r="D67" s="355">
        <v>6808.5</v>
      </c>
      <c r="E67" s="355">
        <v>5787.2249999999995</v>
      </c>
    </row>
    <row r="68" spans="1:5">
      <c r="A68" s="354" t="s">
        <v>1133</v>
      </c>
      <c r="B68" s="355">
        <v>4702.2</v>
      </c>
      <c r="C68" s="355">
        <v>4231.9799999999996</v>
      </c>
      <c r="D68" s="355">
        <v>5877.75</v>
      </c>
      <c r="E68" s="355">
        <v>4996.0874999999996</v>
      </c>
    </row>
    <row r="69" spans="1:5">
      <c r="A69" s="354" t="s">
        <v>1132</v>
      </c>
      <c r="B69" s="355">
        <v>4845</v>
      </c>
      <c r="C69" s="355">
        <v>4360.5</v>
      </c>
      <c r="D69" s="355">
        <v>6056.25</v>
      </c>
      <c r="E69" s="355">
        <v>5147.8125</v>
      </c>
    </row>
    <row r="70" spans="1:5">
      <c r="A70" s="354" t="s">
        <v>1130</v>
      </c>
      <c r="B70" s="355">
        <v>4987.8</v>
      </c>
      <c r="C70" s="355">
        <v>4489.0200000000004</v>
      </c>
      <c r="D70" s="355">
        <v>6234.75</v>
      </c>
      <c r="E70" s="355">
        <v>5299.5374999999995</v>
      </c>
    </row>
    <row r="71" spans="1:5">
      <c r="A71" s="354" t="s">
        <v>1138</v>
      </c>
      <c r="B71" s="355">
        <v>4559.3999999999996</v>
      </c>
      <c r="C71" s="355">
        <v>4103.46</v>
      </c>
      <c r="D71" s="355">
        <v>5699.25</v>
      </c>
      <c r="E71" s="355">
        <v>4844.3625000000002</v>
      </c>
    </row>
    <row r="72" spans="1:5">
      <c r="A72" s="354" t="s">
        <v>1134</v>
      </c>
      <c r="B72" s="355">
        <v>5008.2</v>
      </c>
      <c r="C72" s="355">
        <v>4507.38</v>
      </c>
      <c r="D72" s="355">
        <v>6260.25</v>
      </c>
      <c r="E72" s="355">
        <v>5321.2124999999996</v>
      </c>
    </row>
    <row r="73" spans="1:5">
      <c r="A73" s="354" t="s">
        <v>1137</v>
      </c>
      <c r="B73" s="355">
        <v>5436.6</v>
      </c>
      <c r="C73" s="355">
        <v>4892.9400000000005</v>
      </c>
      <c r="D73" s="355">
        <v>6795.75</v>
      </c>
      <c r="E73" s="355">
        <v>5776.3874999999998</v>
      </c>
    </row>
    <row r="74" spans="1:5">
      <c r="A74" s="354" t="s">
        <v>1282</v>
      </c>
      <c r="B74" s="355">
        <v>9078</v>
      </c>
      <c r="C74" s="355">
        <v>8170.2</v>
      </c>
      <c r="D74" s="355">
        <v>11347.5</v>
      </c>
      <c r="E74" s="355">
        <v>9645.375</v>
      </c>
    </row>
    <row r="75" spans="1:5">
      <c r="A75" s="354" t="s">
        <v>1306</v>
      </c>
      <c r="B75" s="355">
        <v>6166.92</v>
      </c>
      <c r="C75" s="355">
        <v>5550.2280000000001</v>
      </c>
      <c r="D75" s="355">
        <v>7708.65</v>
      </c>
      <c r="E75" s="355">
        <v>6552.3525</v>
      </c>
    </row>
    <row r="76" spans="1:5">
      <c r="A76" s="354" t="s">
        <v>1012</v>
      </c>
      <c r="B76" s="355">
        <v>5895.6</v>
      </c>
      <c r="C76" s="355">
        <v>5306.0400000000009</v>
      </c>
      <c r="D76" s="355">
        <v>7369.5</v>
      </c>
      <c r="E76" s="355">
        <v>6264.0749999999998</v>
      </c>
    </row>
    <row r="77" spans="1:5">
      <c r="A77" s="354" t="s">
        <v>1014</v>
      </c>
      <c r="B77" s="355">
        <v>7880</v>
      </c>
      <c r="C77" s="355">
        <v>7092</v>
      </c>
      <c r="D77" s="355">
        <v>9850</v>
      </c>
      <c r="E77" s="355">
        <v>8372.5</v>
      </c>
    </row>
    <row r="78" spans="1:5">
      <c r="A78" s="354" t="s">
        <v>1011</v>
      </c>
      <c r="B78" s="355">
        <v>6579</v>
      </c>
      <c r="C78" s="355">
        <v>5921.1</v>
      </c>
      <c r="D78" s="355">
        <v>8223.75</v>
      </c>
      <c r="E78" s="355">
        <v>6990.1875</v>
      </c>
    </row>
    <row r="79" spans="1:5">
      <c r="A79" s="354" t="s">
        <v>1013</v>
      </c>
      <c r="B79" s="355">
        <v>9460</v>
      </c>
      <c r="C79" s="355">
        <v>8514</v>
      </c>
      <c r="D79" s="355">
        <v>11825</v>
      </c>
      <c r="E79" s="355">
        <v>10051.25</v>
      </c>
    </row>
    <row r="80" spans="1:5">
      <c r="A80" s="354" t="s">
        <v>1015</v>
      </c>
      <c r="B80" s="355">
        <v>7800</v>
      </c>
      <c r="C80" s="355">
        <v>7020</v>
      </c>
      <c r="D80" s="355">
        <v>9750</v>
      </c>
      <c r="E80" s="355">
        <v>8287.5</v>
      </c>
    </row>
    <row r="81" spans="1:5">
      <c r="A81" s="354" t="s">
        <v>867</v>
      </c>
      <c r="B81" s="355">
        <v>6069</v>
      </c>
      <c r="C81" s="355">
        <v>5462.1</v>
      </c>
      <c r="D81" s="355">
        <v>7586.25</v>
      </c>
      <c r="E81" s="355">
        <v>6448.3125</v>
      </c>
    </row>
    <row r="82" spans="1:5">
      <c r="A82" s="354" t="s">
        <v>866</v>
      </c>
      <c r="B82" s="355">
        <v>6160.8</v>
      </c>
      <c r="C82" s="355">
        <v>5544.72</v>
      </c>
      <c r="D82" s="355">
        <v>7701</v>
      </c>
      <c r="E82" s="355">
        <v>6545.8499999999995</v>
      </c>
    </row>
    <row r="83" spans="1:5">
      <c r="A83" s="354" t="s">
        <v>868</v>
      </c>
      <c r="B83" s="355">
        <v>5395.8</v>
      </c>
      <c r="C83" s="355">
        <v>4856.22</v>
      </c>
      <c r="D83" s="355">
        <v>6744.75</v>
      </c>
      <c r="E83" s="355">
        <v>5733.0374999999995</v>
      </c>
    </row>
    <row r="84" spans="1:5">
      <c r="A84" s="354" t="s">
        <v>870</v>
      </c>
      <c r="B84" s="355">
        <v>5365.2</v>
      </c>
      <c r="C84" s="355">
        <v>4828.68</v>
      </c>
      <c r="D84" s="355">
        <v>6706.5</v>
      </c>
      <c r="E84" s="355">
        <v>5700.5249999999996</v>
      </c>
    </row>
    <row r="85" spans="1:5">
      <c r="A85" s="354" t="s">
        <v>1064</v>
      </c>
      <c r="B85" s="355">
        <v>5997.6</v>
      </c>
      <c r="C85" s="355">
        <v>5397.84</v>
      </c>
      <c r="D85" s="355">
        <v>7497</v>
      </c>
      <c r="E85" s="355">
        <v>6372.45</v>
      </c>
    </row>
    <row r="86" spans="1:5">
      <c r="A86" s="354" t="s">
        <v>880</v>
      </c>
      <c r="B86" s="355">
        <v>4906.2</v>
      </c>
      <c r="C86" s="355">
        <v>4415.58</v>
      </c>
      <c r="D86" s="355">
        <v>6132.75</v>
      </c>
      <c r="E86" s="355">
        <v>5212.8374999999996</v>
      </c>
    </row>
    <row r="87" spans="1:5">
      <c r="A87" s="354" t="s">
        <v>881</v>
      </c>
      <c r="B87" s="355">
        <v>6568.8</v>
      </c>
      <c r="C87" s="355">
        <v>5911.92</v>
      </c>
      <c r="D87" s="355">
        <v>8211</v>
      </c>
      <c r="E87" s="355">
        <v>6979.3499999999995</v>
      </c>
    </row>
    <row r="88" spans="1:5">
      <c r="A88" s="354" t="s">
        <v>879</v>
      </c>
      <c r="B88" s="355">
        <v>5300</v>
      </c>
      <c r="C88" s="355">
        <v>4770</v>
      </c>
      <c r="D88" s="355">
        <v>6625</v>
      </c>
      <c r="E88" s="355">
        <v>5631.25</v>
      </c>
    </row>
    <row r="89" spans="1:5">
      <c r="A89" s="354" t="s">
        <v>873</v>
      </c>
      <c r="B89" s="355">
        <v>9500</v>
      </c>
      <c r="C89" s="355">
        <v>8550</v>
      </c>
      <c r="D89" s="355">
        <v>11875</v>
      </c>
      <c r="E89" s="355">
        <v>10093.75</v>
      </c>
    </row>
    <row r="90" spans="1:5">
      <c r="A90" s="354" t="s">
        <v>869</v>
      </c>
      <c r="B90" s="355">
        <v>5151</v>
      </c>
      <c r="C90" s="355">
        <v>4635.9000000000005</v>
      </c>
      <c r="D90" s="355">
        <v>6438.75</v>
      </c>
      <c r="E90" s="355">
        <v>5472.9375</v>
      </c>
    </row>
    <row r="91" spans="1:5">
      <c r="A91" s="354" t="s">
        <v>871</v>
      </c>
      <c r="B91" s="355">
        <v>4834.8</v>
      </c>
      <c r="C91" s="355">
        <v>4351.3200000000006</v>
      </c>
      <c r="D91" s="355">
        <v>6043.5</v>
      </c>
      <c r="E91" s="355">
        <v>5136.9749999999995</v>
      </c>
    </row>
    <row r="92" spans="1:5">
      <c r="A92" s="354" t="s">
        <v>1066</v>
      </c>
      <c r="B92" s="355">
        <v>5500</v>
      </c>
      <c r="C92" s="355">
        <v>4950</v>
      </c>
      <c r="D92" s="355">
        <v>6875</v>
      </c>
      <c r="E92" s="355">
        <v>5843.75</v>
      </c>
    </row>
    <row r="93" spans="1:5">
      <c r="A93" s="354" t="s">
        <v>1104</v>
      </c>
      <c r="B93" s="355">
        <v>5956.8</v>
      </c>
      <c r="C93" s="355">
        <v>5361.12</v>
      </c>
      <c r="D93" s="355">
        <v>7446</v>
      </c>
      <c r="E93" s="355">
        <v>6329.0999999999995</v>
      </c>
    </row>
    <row r="94" spans="1:5">
      <c r="A94" s="354" t="s">
        <v>1102</v>
      </c>
      <c r="B94" s="355">
        <v>6742.2</v>
      </c>
      <c r="C94" s="355">
        <v>6067.98</v>
      </c>
      <c r="D94" s="355">
        <v>8427.75</v>
      </c>
      <c r="E94" s="355">
        <v>7163.5874999999996</v>
      </c>
    </row>
    <row r="95" spans="1:5">
      <c r="A95" s="354" t="s">
        <v>1103</v>
      </c>
      <c r="B95" s="355">
        <v>13341.6</v>
      </c>
      <c r="C95" s="355">
        <v>12007.44</v>
      </c>
      <c r="D95" s="355">
        <v>16677</v>
      </c>
      <c r="E95" s="355">
        <v>14175.449999999999</v>
      </c>
    </row>
    <row r="96" spans="1:5">
      <c r="A96" s="354" t="s">
        <v>1101</v>
      </c>
      <c r="B96" s="355">
        <v>7201.2</v>
      </c>
      <c r="C96" s="355">
        <v>6481.08</v>
      </c>
      <c r="D96" s="355">
        <v>9001.5</v>
      </c>
      <c r="E96" s="355">
        <v>7651.2749999999996</v>
      </c>
    </row>
    <row r="97" spans="1:5">
      <c r="A97" s="354" t="s">
        <v>882</v>
      </c>
      <c r="B97" s="355">
        <v>6762.6</v>
      </c>
      <c r="C97" s="355">
        <v>6086.34</v>
      </c>
      <c r="D97" s="355">
        <v>8453.25</v>
      </c>
      <c r="E97" s="355">
        <v>7185.2624999999998</v>
      </c>
    </row>
    <row r="98" spans="1:5">
      <c r="A98" s="354" t="s">
        <v>1105</v>
      </c>
      <c r="B98" s="355">
        <v>6375</v>
      </c>
      <c r="C98" s="355">
        <v>5737.5</v>
      </c>
      <c r="D98" s="355">
        <v>7968.75</v>
      </c>
      <c r="E98" s="355">
        <v>6773.4375</v>
      </c>
    </row>
    <row r="99" spans="1:5">
      <c r="A99" s="354" t="s">
        <v>1106</v>
      </c>
      <c r="B99" s="355">
        <v>6762.6</v>
      </c>
      <c r="C99" s="355">
        <v>6086.34</v>
      </c>
      <c r="D99" s="355">
        <v>8453.25</v>
      </c>
      <c r="E99" s="355">
        <v>7185.2624999999998</v>
      </c>
    </row>
    <row r="100" spans="1:5">
      <c r="A100" s="354" t="s">
        <v>1122</v>
      </c>
      <c r="B100" s="355">
        <v>6200</v>
      </c>
      <c r="C100" s="355">
        <v>5580</v>
      </c>
      <c r="D100" s="355">
        <v>7750</v>
      </c>
      <c r="E100" s="355">
        <v>6587.5</v>
      </c>
    </row>
    <row r="101" spans="1:5">
      <c r="A101" s="354" t="s">
        <v>987</v>
      </c>
      <c r="B101" s="355">
        <v>7303.2</v>
      </c>
      <c r="C101" s="355">
        <v>6572.88</v>
      </c>
      <c r="D101" s="355">
        <v>9129</v>
      </c>
      <c r="E101" s="355">
        <v>7759.65</v>
      </c>
    </row>
    <row r="102" spans="1:5">
      <c r="A102" s="354" t="s">
        <v>988</v>
      </c>
      <c r="B102" s="355">
        <v>14841</v>
      </c>
      <c r="C102" s="355">
        <v>13356.9</v>
      </c>
      <c r="D102" s="355">
        <v>18551.25</v>
      </c>
      <c r="E102" s="355">
        <v>15768.5625</v>
      </c>
    </row>
    <row r="103" spans="1:5">
      <c r="A103" s="354" t="s">
        <v>862</v>
      </c>
      <c r="B103" s="355">
        <v>6742.2</v>
      </c>
      <c r="C103" s="355">
        <v>6067.98</v>
      </c>
      <c r="D103" s="355">
        <v>8427.75</v>
      </c>
      <c r="E103" s="355">
        <v>7163.5874999999996</v>
      </c>
    </row>
    <row r="104" spans="1:5">
      <c r="A104" s="354" t="s">
        <v>1113</v>
      </c>
      <c r="B104" s="355">
        <v>5028.6000000000004</v>
      </c>
      <c r="C104" s="355">
        <v>4525.7400000000007</v>
      </c>
      <c r="D104" s="355">
        <v>6285.75</v>
      </c>
      <c r="E104" s="355">
        <v>5342.8874999999998</v>
      </c>
    </row>
    <row r="105" spans="1:5">
      <c r="A105" s="354" t="s">
        <v>1114</v>
      </c>
      <c r="B105" s="355">
        <v>5497.8</v>
      </c>
      <c r="C105" s="355">
        <v>4948.0200000000004</v>
      </c>
      <c r="D105" s="355">
        <v>6872.25</v>
      </c>
      <c r="E105" s="355">
        <v>5841.4124999999995</v>
      </c>
    </row>
    <row r="106" spans="1:5">
      <c r="A106" s="354" t="s">
        <v>1116</v>
      </c>
      <c r="B106" s="355">
        <v>5028.6000000000004</v>
      </c>
      <c r="C106" s="355">
        <v>4525.7400000000007</v>
      </c>
      <c r="D106" s="355">
        <v>6285.75</v>
      </c>
      <c r="E106" s="355">
        <v>5342.8874999999998</v>
      </c>
    </row>
    <row r="107" spans="1:5">
      <c r="A107" s="354" t="s">
        <v>986</v>
      </c>
      <c r="B107" s="355">
        <v>7435.8</v>
      </c>
      <c r="C107" s="355">
        <v>6692.22</v>
      </c>
      <c r="D107" s="355">
        <v>9294.75</v>
      </c>
      <c r="E107" s="355">
        <v>7900.5374999999995</v>
      </c>
    </row>
    <row r="108" spans="1:5">
      <c r="A108" s="354" t="s">
        <v>996</v>
      </c>
      <c r="B108" s="355">
        <v>14637</v>
      </c>
      <c r="C108" s="355">
        <v>13173.300000000001</v>
      </c>
      <c r="D108" s="355">
        <v>18296.25</v>
      </c>
      <c r="E108" s="355">
        <v>15551.8125</v>
      </c>
    </row>
    <row r="109" spans="1:5">
      <c r="A109" s="354" t="s">
        <v>995</v>
      </c>
      <c r="B109" s="355">
        <v>7364.4000000000005</v>
      </c>
      <c r="C109" s="355">
        <v>6627.9600000000009</v>
      </c>
      <c r="D109" s="355">
        <v>9205.5</v>
      </c>
      <c r="E109" s="355">
        <v>7824.6750000000002</v>
      </c>
    </row>
    <row r="110" spans="1:5">
      <c r="A110" s="354" t="s">
        <v>994</v>
      </c>
      <c r="B110" s="355">
        <v>7364.4000000000005</v>
      </c>
      <c r="C110" s="355">
        <v>6627.9600000000009</v>
      </c>
      <c r="D110" s="355">
        <v>9205.5</v>
      </c>
      <c r="E110" s="355">
        <v>7824.6750000000002</v>
      </c>
    </row>
    <row r="111" spans="1:5">
      <c r="A111" s="354" t="s">
        <v>1126</v>
      </c>
      <c r="B111" s="355">
        <v>7435.8</v>
      </c>
      <c r="C111" s="355">
        <v>6692.22</v>
      </c>
      <c r="D111" s="355">
        <v>9294.75</v>
      </c>
      <c r="E111" s="355">
        <v>7900.5374999999995</v>
      </c>
    </row>
    <row r="112" spans="1:5">
      <c r="A112" s="354" t="s">
        <v>991</v>
      </c>
      <c r="B112" s="355">
        <v>7364.4000000000005</v>
      </c>
      <c r="C112" s="355">
        <v>6627.9600000000009</v>
      </c>
      <c r="D112" s="355">
        <v>9205.5</v>
      </c>
      <c r="E112" s="355">
        <v>7824.6750000000002</v>
      </c>
    </row>
    <row r="113" spans="1:5">
      <c r="A113" s="354" t="s">
        <v>990</v>
      </c>
      <c r="B113" s="355">
        <v>15289.800000000001</v>
      </c>
      <c r="C113" s="355">
        <v>13760.820000000002</v>
      </c>
      <c r="D113" s="355">
        <v>19112.25</v>
      </c>
      <c r="E113" s="355">
        <v>16245.4125</v>
      </c>
    </row>
    <row r="114" spans="1:5">
      <c r="A114" s="354" t="s">
        <v>989</v>
      </c>
      <c r="B114" s="355">
        <v>5844.6</v>
      </c>
      <c r="C114" s="355">
        <v>5260.14</v>
      </c>
      <c r="D114" s="355">
        <v>7305.75</v>
      </c>
      <c r="E114" s="355">
        <v>6209.8874999999998</v>
      </c>
    </row>
    <row r="115" spans="1:5">
      <c r="A115" s="354" t="s">
        <v>1112</v>
      </c>
      <c r="B115" s="355">
        <v>6711.6</v>
      </c>
      <c r="C115" s="355">
        <v>6040.4400000000005</v>
      </c>
      <c r="D115" s="355">
        <v>8389.5</v>
      </c>
      <c r="E115" s="355">
        <v>7131.0749999999998</v>
      </c>
    </row>
    <row r="116" spans="1:5">
      <c r="A116" s="354" t="s">
        <v>1107</v>
      </c>
      <c r="B116" s="355">
        <v>5344.8</v>
      </c>
      <c r="C116" s="355">
        <v>4810.3200000000006</v>
      </c>
      <c r="D116" s="355">
        <v>6681</v>
      </c>
      <c r="E116" s="355">
        <v>5678.8499999999995</v>
      </c>
    </row>
    <row r="117" spans="1:5">
      <c r="A117" s="354" t="s">
        <v>1123</v>
      </c>
      <c r="B117" s="355">
        <v>9822.6</v>
      </c>
      <c r="C117" s="355">
        <v>8840.34</v>
      </c>
      <c r="D117" s="355">
        <v>12278.25</v>
      </c>
      <c r="E117" s="355">
        <v>10436.512499999999</v>
      </c>
    </row>
    <row r="118" spans="1:5">
      <c r="A118" s="354" t="s">
        <v>983</v>
      </c>
      <c r="B118" s="355">
        <v>6528</v>
      </c>
      <c r="C118" s="355">
        <v>5875.2</v>
      </c>
      <c r="D118" s="355">
        <v>8160</v>
      </c>
      <c r="E118" s="355">
        <v>6936</v>
      </c>
    </row>
    <row r="119" spans="1:5">
      <c r="A119" s="354" t="s">
        <v>981</v>
      </c>
      <c r="B119" s="355">
        <v>14361.6</v>
      </c>
      <c r="C119" s="355">
        <v>12925.44</v>
      </c>
      <c r="D119" s="355">
        <v>17952</v>
      </c>
      <c r="E119" s="355">
        <v>15259.199999999999</v>
      </c>
    </row>
    <row r="120" spans="1:5">
      <c r="A120" s="354" t="s">
        <v>1121</v>
      </c>
      <c r="B120" s="355">
        <v>6099.6</v>
      </c>
      <c r="C120" s="355">
        <v>5489.64</v>
      </c>
      <c r="D120" s="355">
        <v>7624.5</v>
      </c>
      <c r="E120" s="355">
        <v>6480.8249999999998</v>
      </c>
    </row>
    <row r="121" spans="1:5">
      <c r="A121" s="354" t="s">
        <v>1110</v>
      </c>
      <c r="B121" s="355">
        <v>2140.98</v>
      </c>
      <c r="C121" s="355" t="e">
        <v>#DIV/0!</v>
      </c>
      <c r="D121" s="355">
        <v>2500</v>
      </c>
      <c r="E121" s="355"/>
    </row>
    <row r="122" spans="1:5">
      <c r="A122" s="354" t="s">
        <v>1108</v>
      </c>
      <c r="B122" s="355">
        <v>5885.4000000000005</v>
      </c>
      <c r="C122" s="355">
        <v>5296.8600000000006</v>
      </c>
      <c r="D122" s="355">
        <v>7356.7500000000009</v>
      </c>
      <c r="E122" s="355">
        <v>6253.2375000000002</v>
      </c>
    </row>
    <row r="123" spans="1:5">
      <c r="A123" s="354" t="s">
        <v>1111</v>
      </c>
      <c r="B123" s="355">
        <v>5416.2</v>
      </c>
      <c r="C123" s="355">
        <v>4874.58</v>
      </c>
      <c r="D123" s="355">
        <v>6770.25</v>
      </c>
      <c r="E123" s="355">
        <v>5754.7124999999996</v>
      </c>
    </row>
    <row r="124" spans="1:5">
      <c r="A124" s="354" t="s">
        <v>1129</v>
      </c>
      <c r="B124" s="355">
        <v>5477.4000000000005</v>
      </c>
      <c r="C124" s="355">
        <v>4929.6600000000008</v>
      </c>
      <c r="D124" s="355">
        <v>6846.7500000000009</v>
      </c>
      <c r="E124" s="355">
        <v>5819.7375000000002</v>
      </c>
    </row>
    <row r="125" spans="1:5">
      <c r="A125" s="354" t="s">
        <v>982</v>
      </c>
      <c r="B125" s="355">
        <v>13300.800000000001</v>
      </c>
      <c r="C125" s="355">
        <v>11970.720000000001</v>
      </c>
      <c r="D125" s="355">
        <v>16626</v>
      </c>
      <c r="E125" s="355">
        <v>14132.1</v>
      </c>
    </row>
    <row r="126" spans="1:5">
      <c r="A126" s="354" t="s">
        <v>992</v>
      </c>
      <c r="B126" s="355">
        <v>14198.4</v>
      </c>
      <c r="C126" s="355">
        <v>12778.56</v>
      </c>
      <c r="D126" s="355">
        <v>17748</v>
      </c>
      <c r="E126" s="355">
        <v>15085.8</v>
      </c>
    </row>
    <row r="127" spans="1:5">
      <c r="A127" s="354" t="s">
        <v>998</v>
      </c>
      <c r="B127" s="355">
        <v>7384.8</v>
      </c>
      <c r="C127" s="355">
        <v>6646.3200000000006</v>
      </c>
      <c r="D127" s="355">
        <v>9231</v>
      </c>
      <c r="E127" s="355">
        <v>7846.3499999999995</v>
      </c>
    </row>
    <row r="128" spans="1:5">
      <c r="A128" s="354" t="s">
        <v>1118</v>
      </c>
      <c r="B128" s="355">
        <v>7517.4000000000005</v>
      </c>
      <c r="C128" s="355">
        <v>6765.6600000000008</v>
      </c>
      <c r="D128" s="355">
        <v>9396.75</v>
      </c>
      <c r="E128" s="355">
        <v>7987.2375000000002</v>
      </c>
    </row>
    <row r="129" spans="1:5">
      <c r="A129" s="354" t="s">
        <v>1109</v>
      </c>
      <c r="B129" s="355">
        <v>5202</v>
      </c>
      <c r="C129" s="355">
        <v>4681.8</v>
      </c>
      <c r="D129" s="355">
        <v>6502.5</v>
      </c>
      <c r="E129" s="355">
        <v>5527.125</v>
      </c>
    </row>
    <row r="130" spans="1:5">
      <c r="A130" s="354" t="s">
        <v>997</v>
      </c>
      <c r="B130" s="355">
        <v>11923.800000000001</v>
      </c>
      <c r="C130" s="355">
        <v>10731.420000000002</v>
      </c>
      <c r="D130" s="355">
        <v>14904.750000000002</v>
      </c>
      <c r="E130" s="355">
        <v>12669.0375</v>
      </c>
    </row>
    <row r="131" spans="1:5">
      <c r="A131" s="354" t="s">
        <v>984</v>
      </c>
      <c r="B131" s="355">
        <v>14739</v>
      </c>
      <c r="C131" s="355">
        <v>13265.1</v>
      </c>
      <c r="D131" s="355">
        <v>18423.75</v>
      </c>
      <c r="E131" s="355">
        <v>15660.1875</v>
      </c>
    </row>
    <row r="132" spans="1:5">
      <c r="A132" s="354" t="s">
        <v>1125</v>
      </c>
      <c r="B132" s="355">
        <v>24000</v>
      </c>
      <c r="C132" s="355">
        <v>21600</v>
      </c>
      <c r="D132" s="355">
        <v>30000</v>
      </c>
      <c r="E132" s="355">
        <v>25500</v>
      </c>
    </row>
    <row r="133" spans="1:5">
      <c r="A133" s="354" t="s">
        <v>1124</v>
      </c>
      <c r="B133" s="355">
        <v>26000</v>
      </c>
      <c r="C133" s="355">
        <v>23400</v>
      </c>
      <c r="D133" s="355">
        <v>32500</v>
      </c>
      <c r="E133" s="355">
        <v>27625</v>
      </c>
    </row>
    <row r="134" spans="1:5">
      <c r="A134" s="354" t="s">
        <v>1127</v>
      </c>
      <c r="B134" s="355">
        <v>7986.6</v>
      </c>
      <c r="C134" s="355">
        <v>7187.9400000000005</v>
      </c>
      <c r="D134" s="355">
        <v>9983.25</v>
      </c>
      <c r="E134" s="355">
        <v>8485.7624999999989</v>
      </c>
    </row>
    <row r="135" spans="1:5">
      <c r="A135" s="354" t="s">
        <v>1128</v>
      </c>
      <c r="B135" s="355">
        <v>8731.2000000000007</v>
      </c>
      <c r="C135" s="355">
        <v>7858.0800000000008</v>
      </c>
      <c r="D135" s="355">
        <v>10914</v>
      </c>
      <c r="E135" s="355">
        <v>9276.9</v>
      </c>
    </row>
    <row r="136" spans="1:5">
      <c r="A136" s="354" t="s">
        <v>1117</v>
      </c>
      <c r="B136" s="355">
        <v>13545.6</v>
      </c>
      <c r="C136" s="355">
        <v>12191.04</v>
      </c>
      <c r="D136" s="355">
        <v>16932</v>
      </c>
      <c r="E136" s="355">
        <v>14392.199999999999</v>
      </c>
    </row>
    <row r="137" spans="1:5">
      <c r="A137" s="354" t="s">
        <v>1115</v>
      </c>
      <c r="B137" s="355">
        <v>5559</v>
      </c>
      <c r="C137" s="355">
        <v>5003.1000000000004</v>
      </c>
      <c r="D137" s="355">
        <v>6948.75</v>
      </c>
      <c r="E137" s="355">
        <v>5906.4375</v>
      </c>
    </row>
    <row r="138" spans="1:5">
      <c r="A138" s="354" t="s">
        <v>1119</v>
      </c>
      <c r="B138" s="355">
        <v>7517.4000000000005</v>
      </c>
      <c r="C138" s="355">
        <v>6765.6600000000008</v>
      </c>
      <c r="D138" s="355">
        <v>9396.75</v>
      </c>
      <c r="E138" s="355">
        <v>7987.2375000000002</v>
      </c>
    </row>
    <row r="139" spans="1:5">
      <c r="A139" s="354" t="s">
        <v>1120</v>
      </c>
      <c r="B139" s="355">
        <v>13423.2</v>
      </c>
      <c r="C139" s="355">
        <v>12080.880000000001</v>
      </c>
      <c r="D139" s="355">
        <v>16779</v>
      </c>
      <c r="E139" s="355">
        <v>14262.15</v>
      </c>
    </row>
    <row r="140" spans="1:5">
      <c r="A140" s="354" t="s">
        <v>985</v>
      </c>
      <c r="B140" s="355">
        <v>14953.2</v>
      </c>
      <c r="C140" s="355">
        <v>13457.880000000001</v>
      </c>
      <c r="D140" s="355">
        <v>18691.5</v>
      </c>
      <c r="E140" s="355">
        <v>15887.775</v>
      </c>
    </row>
    <row r="141" spans="1:5">
      <c r="A141" s="354" t="s">
        <v>993</v>
      </c>
      <c r="B141" s="355">
        <v>14137.2</v>
      </c>
      <c r="C141" s="355">
        <v>12723.480000000001</v>
      </c>
      <c r="D141" s="355">
        <v>17671.5</v>
      </c>
      <c r="E141" s="355">
        <v>15020.775</v>
      </c>
    </row>
    <row r="142" spans="1:5">
      <c r="A142" s="354" t="s">
        <v>1214</v>
      </c>
      <c r="B142" s="355">
        <v>8292.6</v>
      </c>
      <c r="C142" s="355">
        <v>7463.34</v>
      </c>
      <c r="D142" s="355">
        <v>10365.75</v>
      </c>
      <c r="E142" s="355">
        <v>8810.8874999999989</v>
      </c>
    </row>
    <row r="143" spans="1:5">
      <c r="A143" s="354" t="s">
        <v>1308</v>
      </c>
      <c r="B143" s="355">
        <v>8698.56</v>
      </c>
      <c r="C143" s="355">
        <v>7828.7039999999997</v>
      </c>
      <c r="D143" s="355">
        <v>10873.199999999999</v>
      </c>
      <c r="E143" s="355">
        <v>9242.2199999999993</v>
      </c>
    </row>
    <row r="144" spans="1:5">
      <c r="A144" s="354" t="s">
        <v>919</v>
      </c>
      <c r="B144" s="355">
        <v>6874.8</v>
      </c>
      <c r="C144" s="355">
        <v>6187.3200000000006</v>
      </c>
      <c r="D144" s="355">
        <v>8593.5</v>
      </c>
      <c r="E144" s="355">
        <v>7304.4749999999995</v>
      </c>
    </row>
    <row r="145" spans="1:5">
      <c r="A145" s="354" t="s">
        <v>914</v>
      </c>
      <c r="B145" s="355">
        <v>7017.6</v>
      </c>
      <c r="C145" s="355">
        <v>6315.84</v>
      </c>
      <c r="D145" s="355">
        <v>8772</v>
      </c>
      <c r="E145" s="355">
        <v>7456.2</v>
      </c>
    </row>
    <row r="146" spans="1:5">
      <c r="A146" s="354" t="s">
        <v>915</v>
      </c>
      <c r="B146" s="355">
        <v>6874.8</v>
      </c>
      <c r="C146" s="355">
        <v>6187.3200000000006</v>
      </c>
      <c r="D146" s="355">
        <v>8593.5</v>
      </c>
      <c r="E146" s="355">
        <v>7304.4749999999995</v>
      </c>
    </row>
    <row r="147" spans="1:5">
      <c r="A147" s="354" t="s">
        <v>999</v>
      </c>
      <c r="B147" s="355">
        <v>4253.3999999999996</v>
      </c>
      <c r="C147" s="355">
        <v>3828.06</v>
      </c>
      <c r="D147" s="355">
        <v>5316.75</v>
      </c>
      <c r="E147" s="355">
        <v>4519.2375000000002</v>
      </c>
    </row>
    <row r="148" spans="1:5">
      <c r="A148" s="354" t="s">
        <v>1002</v>
      </c>
      <c r="B148" s="355">
        <v>4161.6000000000004</v>
      </c>
      <c r="C148" s="355">
        <v>3745.4400000000005</v>
      </c>
      <c r="D148" s="355">
        <v>5202</v>
      </c>
      <c r="E148" s="355">
        <v>4421.7</v>
      </c>
    </row>
    <row r="149" spans="1:5">
      <c r="A149" s="354" t="s">
        <v>1000</v>
      </c>
      <c r="B149" s="355">
        <v>4253.3999999999996</v>
      </c>
      <c r="C149" s="355">
        <v>3828.06</v>
      </c>
      <c r="D149" s="355">
        <v>5316.75</v>
      </c>
      <c r="E149" s="355">
        <v>4519.2375000000002</v>
      </c>
    </row>
    <row r="150" spans="1:5">
      <c r="A150" s="354" t="s">
        <v>920</v>
      </c>
      <c r="B150" s="355">
        <v>5620.2</v>
      </c>
      <c r="C150" s="355">
        <v>5058.18</v>
      </c>
      <c r="D150" s="355">
        <v>7025.25</v>
      </c>
      <c r="E150" s="355">
        <v>5971.4624999999996</v>
      </c>
    </row>
    <row r="151" spans="1:5">
      <c r="A151" s="354" t="s">
        <v>1003</v>
      </c>
      <c r="B151" s="355">
        <v>6599.4000000000005</v>
      </c>
      <c r="C151" s="355">
        <v>5939.4600000000009</v>
      </c>
      <c r="D151" s="355">
        <v>8249.25</v>
      </c>
      <c r="E151" s="355">
        <v>7011.8625000000002</v>
      </c>
    </row>
    <row r="152" spans="1:5">
      <c r="A152" s="354" t="s">
        <v>917</v>
      </c>
      <c r="B152" s="355">
        <v>6874.8</v>
      </c>
      <c r="C152" s="355">
        <v>6187.3200000000006</v>
      </c>
      <c r="D152" s="355">
        <v>8593.5</v>
      </c>
      <c r="E152" s="355">
        <v>7304.4749999999995</v>
      </c>
    </row>
    <row r="153" spans="1:5">
      <c r="A153" s="354" t="s">
        <v>918</v>
      </c>
      <c r="B153" s="355">
        <v>6874.8</v>
      </c>
      <c r="C153" s="355">
        <v>6187.3200000000006</v>
      </c>
      <c r="D153" s="355">
        <v>8593.5</v>
      </c>
      <c r="E153" s="355">
        <v>7304.4749999999995</v>
      </c>
    </row>
    <row r="154" spans="1:5">
      <c r="A154" s="354" t="s">
        <v>916</v>
      </c>
      <c r="B154" s="355">
        <v>7150.2</v>
      </c>
      <c r="C154" s="355">
        <v>6435.18</v>
      </c>
      <c r="D154" s="355">
        <v>8937.75</v>
      </c>
      <c r="E154" s="355">
        <v>7597.0874999999996</v>
      </c>
    </row>
    <row r="155" spans="1:5">
      <c r="A155" s="354" t="s">
        <v>956</v>
      </c>
      <c r="B155" s="355">
        <v>5110.2</v>
      </c>
      <c r="C155" s="355">
        <v>4599.18</v>
      </c>
      <c r="D155" s="355">
        <v>6387.75</v>
      </c>
      <c r="E155" s="355">
        <v>5429.5874999999996</v>
      </c>
    </row>
    <row r="156" spans="1:5">
      <c r="A156" s="354" t="s">
        <v>1001</v>
      </c>
      <c r="B156" s="355">
        <v>4253.3999999999996</v>
      </c>
      <c r="C156" s="355">
        <v>3828.06</v>
      </c>
      <c r="D156" s="355">
        <v>5316.75</v>
      </c>
      <c r="E156" s="355">
        <v>4519.2375000000002</v>
      </c>
    </row>
    <row r="157" spans="1:5">
      <c r="A157" s="354" t="s">
        <v>1297</v>
      </c>
      <c r="B157" s="355">
        <v>4457.3999999999996</v>
      </c>
      <c r="C157" s="355">
        <v>4011.66</v>
      </c>
      <c r="D157" s="355">
        <v>5571.75</v>
      </c>
      <c r="E157" s="355">
        <v>4735.9875000000002</v>
      </c>
    </row>
    <row r="158" spans="1:5">
      <c r="A158" s="354" t="s">
        <v>955</v>
      </c>
      <c r="B158" s="355">
        <v>4681.8</v>
      </c>
      <c r="C158" s="355">
        <v>4213.62</v>
      </c>
      <c r="D158" s="355">
        <v>5852.25</v>
      </c>
      <c r="E158" s="355">
        <v>4974.4124999999995</v>
      </c>
    </row>
    <row r="159" spans="1:5">
      <c r="A159" s="354" t="s">
        <v>826</v>
      </c>
      <c r="B159" s="355">
        <v>6670.8</v>
      </c>
      <c r="C159" s="355">
        <v>6003.72</v>
      </c>
      <c r="D159" s="355">
        <v>8338.5</v>
      </c>
      <c r="E159" s="355">
        <v>7087.7249999999995</v>
      </c>
    </row>
    <row r="160" spans="1:5">
      <c r="A160" s="354" t="s">
        <v>828</v>
      </c>
      <c r="B160" s="355">
        <v>6580</v>
      </c>
      <c r="C160" s="355">
        <v>5922</v>
      </c>
      <c r="D160" s="355">
        <v>8225</v>
      </c>
      <c r="E160" s="355">
        <v>6991.25</v>
      </c>
    </row>
    <row r="161" spans="1:5">
      <c r="A161" s="354" t="s">
        <v>829</v>
      </c>
      <c r="B161" s="355">
        <v>6375</v>
      </c>
      <c r="C161" s="355">
        <v>5737.5</v>
      </c>
      <c r="D161" s="355">
        <v>7968.75</v>
      </c>
      <c r="E161" s="355">
        <v>6773.4375</v>
      </c>
    </row>
    <row r="162" spans="1:5">
      <c r="A162" s="354" t="s">
        <v>830</v>
      </c>
      <c r="B162" s="355">
        <v>7764</v>
      </c>
      <c r="C162" s="355">
        <v>6987.6</v>
      </c>
      <c r="D162" s="355">
        <v>9705</v>
      </c>
      <c r="E162" s="355">
        <v>8249.25</v>
      </c>
    </row>
    <row r="163" spans="1:5">
      <c r="A163" s="354" t="s">
        <v>831</v>
      </c>
      <c r="B163" s="355">
        <v>6599.4000000000005</v>
      </c>
      <c r="C163" s="355">
        <v>5939.4600000000009</v>
      </c>
      <c r="D163" s="355">
        <v>8249.25</v>
      </c>
      <c r="E163" s="355">
        <v>7011.8625000000002</v>
      </c>
    </row>
    <row r="164" spans="1:5">
      <c r="A164" s="354" t="s">
        <v>1300</v>
      </c>
      <c r="B164" s="355">
        <v>15100</v>
      </c>
      <c r="C164" s="355">
        <v>13590</v>
      </c>
      <c r="D164" s="355">
        <v>18875</v>
      </c>
      <c r="E164" s="355">
        <v>16043.75</v>
      </c>
    </row>
    <row r="165" spans="1:5">
      <c r="A165" s="354" t="s">
        <v>894</v>
      </c>
      <c r="B165" s="355">
        <v>6548.4000000000005</v>
      </c>
      <c r="C165" s="355">
        <v>5893.56</v>
      </c>
      <c r="D165" s="355">
        <v>8185.5000000000009</v>
      </c>
      <c r="E165" s="355">
        <v>6957.6750000000002</v>
      </c>
    </row>
    <row r="166" spans="1:5">
      <c r="A166" s="354" t="s">
        <v>888</v>
      </c>
      <c r="B166" s="355">
        <v>6038.4000000000005</v>
      </c>
      <c r="C166" s="355">
        <v>5434.56</v>
      </c>
      <c r="D166" s="355">
        <v>7548.0000000000009</v>
      </c>
      <c r="E166" s="355">
        <v>6415.8</v>
      </c>
    </row>
    <row r="167" spans="1:5">
      <c r="A167" s="354" t="s">
        <v>887</v>
      </c>
      <c r="B167" s="355">
        <v>6058.8</v>
      </c>
      <c r="C167" s="355">
        <v>5452.92</v>
      </c>
      <c r="D167" s="355">
        <v>7573.5</v>
      </c>
      <c r="E167" s="355">
        <v>6437.4749999999995</v>
      </c>
    </row>
    <row r="168" spans="1:5">
      <c r="A168" s="354" t="s">
        <v>890</v>
      </c>
      <c r="B168" s="355">
        <v>5151</v>
      </c>
      <c r="C168" s="355">
        <v>4635.9000000000005</v>
      </c>
      <c r="D168" s="355">
        <v>6438.75</v>
      </c>
      <c r="E168" s="355">
        <v>5472.9375</v>
      </c>
    </row>
    <row r="169" spans="1:5">
      <c r="A169" s="354" t="s">
        <v>889</v>
      </c>
      <c r="B169" s="355">
        <v>6470</v>
      </c>
      <c r="C169" s="355">
        <v>5823</v>
      </c>
      <c r="D169" s="355">
        <v>8087.5</v>
      </c>
      <c r="E169" s="355">
        <v>6874.375</v>
      </c>
    </row>
    <row r="170" spans="1:5">
      <c r="A170" s="354" t="s">
        <v>899</v>
      </c>
      <c r="B170" s="355">
        <v>7303.2</v>
      </c>
      <c r="C170" s="355">
        <v>6572.88</v>
      </c>
      <c r="D170" s="355">
        <v>9129</v>
      </c>
      <c r="E170" s="355">
        <v>7759.65</v>
      </c>
    </row>
    <row r="171" spans="1:5">
      <c r="A171" s="354" t="s">
        <v>901</v>
      </c>
      <c r="B171" s="355">
        <v>9300</v>
      </c>
      <c r="C171" s="355">
        <v>8370</v>
      </c>
      <c r="D171" s="355">
        <v>11625</v>
      </c>
      <c r="E171" s="355">
        <v>9881.25</v>
      </c>
    </row>
    <row r="172" spans="1:5">
      <c r="A172" s="354" t="s">
        <v>895</v>
      </c>
      <c r="B172" s="355">
        <v>5834.4000000000005</v>
      </c>
      <c r="C172" s="355">
        <v>5250.9600000000009</v>
      </c>
      <c r="D172" s="355">
        <v>7293.0000000000009</v>
      </c>
      <c r="E172" s="355">
        <v>6199.05</v>
      </c>
    </row>
    <row r="173" spans="1:5">
      <c r="A173" s="354" t="s">
        <v>902</v>
      </c>
      <c r="B173" s="355">
        <v>8250</v>
      </c>
      <c r="C173" s="355">
        <v>7425</v>
      </c>
      <c r="D173" s="355">
        <v>10312.5</v>
      </c>
      <c r="E173" s="355">
        <v>8765.625</v>
      </c>
    </row>
    <row r="174" spans="1:5">
      <c r="A174" s="354" t="s">
        <v>905</v>
      </c>
      <c r="B174" s="355">
        <v>5865</v>
      </c>
      <c r="C174" s="355">
        <v>5278.5</v>
      </c>
      <c r="D174" s="355">
        <v>7331.25</v>
      </c>
      <c r="E174" s="355">
        <v>6231.5625</v>
      </c>
    </row>
    <row r="175" spans="1:5">
      <c r="A175" s="354" t="s">
        <v>896</v>
      </c>
      <c r="B175" s="355">
        <v>6201.6</v>
      </c>
      <c r="C175" s="355">
        <v>5581.4400000000005</v>
      </c>
      <c r="D175" s="355">
        <v>7752</v>
      </c>
      <c r="E175" s="355">
        <v>6589.2</v>
      </c>
    </row>
    <row r="176" spans="1:5">
      <c r="A176" s="354" t="s">
        <v>885</v>
      </c>
      <c r="B176" s="355">
        <v>6191.4000000000005</v>
      </c>
      <c r="C176" s="355">
        <v>5572.26</v>
      </c>
      <c r="D176" s="355">
        <v>7739.2500000000009</v>
      </c>
      <c r="E176" s="355">
        <v>6578.3625000000002</v>
      </c>
    </row>
    <row r="177" spans="1:5">
      <c r="A177" s="354" t="s">
        <v>906</v>
      </c>
      <c r="B177" s="355">
        <v>6242.4000000000005</v>
      </c>
      <c r="C177" s="355">
        <v>5618.1600000000008</v>
      </c>
      <c r="D177" s="355">
        <v>7803.0000000000009</v>
      </c>
      <c r="E177" s="355">
        <v>6632.55</v>
      </c>
    </row>
    <row r="178" spans="1:5">
      <c r="A178" s="354" t="s">
        <v>900</v>
      </c>
      <c r="B178" s="355">
        <v>5334.6</v>
      </c>
      <c r="C178" s="355">
        <v>4801.1400000000003</v>
      </c>
      <c r="D178" s="355">
        <v>6668.25</v>
      </c>
      <c r="E178" s="355">
        <v>5668.0124999999998</v>
      </c>
    </row>
    <row r="179" spans="1:5">
      <c r="A179" s="354" t="s">
        <v>891</v>
      </c>
      <c r="B179" s="355">
        <v>6099.6</v>
      </c>
      <c r="C179" s="355">
        <v>5489.64</v>
      </c>
      <c r="D179" s="355">
        <v>7624.5</v>
      </c>
      <c r="E179" s="355">
        <v>6480.8249999999998</v>
      </c>
    </row>
    <row r="180" spans="1:5">
      <c r="A180" s="354" t="s">
        <v>892</v>
      </c>
      <c r="B180" s="355">
        <v>5844.6</v>
      </c>
      <c r="C180" s="355">
        <v>5260.14</v>
      </c>
      <c r="D180" s="355">
        <v>7305.75</v>
      </c>
      <c r="E180" s="355">
        <v>6209.8874999999998</v>
      </c>
    </row>
    <row r="181" spans="1:5">
      <c r="A181" s="354" t="s">
        <v>904</v>
      </c>
      <c r="B181" s="355">
        <v>7854</v>
      </c>
      <c r="C181" s="355">
        <v>7068.6</v>
      </c>
      <c r="D181" s="355">
        <v>9817.5</v>
      </c>
      <c r="E181" s="355">
        <v>8344.875</v>
      </c>
    </row>
    <row r="182" spans="1:5">
      <c r="A182" s="354" t="s">
        <v>909</v>
      </c>
      <c r="B182" s="355">
        <v>7650</v>
      </c>
      <c r="C182" s="355">
        <v>6885</v>
      </c>
      <c r="D182" s="355">
        <v>9562.5</v>
      </c>
      <c r="E182" s="355">
        <v>8128.125</v>
      </c>
    </row>
    <row r="183" spans="1:5">
      <c r="A183" s="354" t="s">
        <v>886</v>
      </c>
      <c r="B183" s="355">
        <v>7252.2</v>
      </c>
      <c r="C183" s="355">
        <v>6526.98</v>
      </c>
      <c r="D183" s="355">
        <v>9065.25</v>
      </c>
      <c r="E183" s="355">
        <v>7705.4624999999996</v>
      </c>
    </row>
    <row r="184" spans="1:5">
      <c r="A184" s="354" t="s">
        <v>893</v>
      </c>
      <c r="B184" s="355">
        <v>5967</v>
      </c>
      <c r="C184" s="355">
        <v>5370.3</v>
      </c>
      <c r="D184" s="355">
        <v>7458.75</v>
      </c>
      <c r="E184" s="355">
        <v>6339.9375</v>
      </c>
    </row>
    <row r="185" spans="1:5">
      <c r="A185" s="354" t="s">
        <v>897</v>
      </c>
      <c r="B185" s="355">
        <v>5967</v>
      </c>
      <c r="C185" s="355">
        <v>5370.3</v>
      </c>
      <c r="D185" s="355">
        <v>7458.75</v>
      </c>
      <c r="E185" s="355">
        <v>6339.9375</v>
      </c>
    </row>
    <row r="186" spans="1:5">
      <c r="A186" s="354" t="s">
        <v>908</v>
      </c>
      <c r="B186" s="355">
        <v>6640.2</v>
      </c>
      <c r="C186" s="355">
        <v>5976.18</v>
      </c>
      <c r="D186" s="355">
        <v>8300.25</v>
      </c>
      <c r="E186" s="355">
        <v>7055.2124999999996</v>
      </c>
    </row>
    <row r="187" spans="1:5">
      <c r="A187" s="354" t="s">
        <v>903</v>
      </c>
      <c r="B187" s="355">
        <v>7792.8</v>
      </c>
      <c r="C187" s="355">
        <v>7013.52</v>
      </c>
      <c r="D187" s="355">
        <v>9741</v>
      </c>
      <c r="E187" s="355">
        <v>8279.85</v>
      </c>
    </row>
    <row r="188" spans="1:5">
      <c r="A188" s="354" t="s">
        <v>907</v>
      </c>
      <c r="B188" s="355">
        <v>5997.6</v>
      </c>
      <c r="C188" s="355">
        <v>5397.84</v>
      </c>
      <c r="D188" s="355">
        <v>7497</v>
      </c>
      <c r="E188" s="355">
        <v>6372.45</v>
      </c>
    </row>
    <row r="189" spans="1:5">
      <c r="A189" s="354" t="s">
        <v>883</v>
      </c>
      <c r="B189" s="355">
        <v>7221.6</v>
      </c>
      <c r="C189" s="355">
        <v>6499.4400000000005</v>
      </c>
      <c r="D189" s="355">
        <v>9027</v>
      </c>
      <c r="E189" s="355">
        <v>7672.95</v>
      </c>
    </row>
    <row r="190" spans="1:5">
      <c r="A190" s="354" t="s">
        <v>884</v>
      </c>
      <c r="B190" s="355">
        <v>11923.800000000001</v>
      </c>
      <c r="C190" s="355">
        <v>10731.420000000002</v>
      </c>
      <c r="D190" s="355">
        <v>14904.750000000002</v>
      </c>
      <c r="E190" s="355">
        <v>12669.0375</v>
      </c>
    </row>
    <row r="191" spans="1:5">
      <c r="A191" s="354" t="s">
        <v>1195</v>
      </c>
      <c r="B191" s="355">
        <v>6100</v>
      </c>
      <c r="C191" s="355">
        <v>5490</v>
      </c>
      <c r="D191" s="355">
        <v>7625</v>
      </c>
      <c r="E191" s="355">
        <v>6481.25</v>
      </c>
    </row>
    <row r="192" spans="1:5">
      <c r="A192" s="354" t="s">
        <v>1259</v>
      </c>
      <c r="B192" s="355">
        <v>9445.2000000000007</v>
      </c>
      <c r="C192" s="355">
        <v>5346</v>
      </c>
      <c r="D192" s="355">
        <v>7425</v>
      </c>
      <c r="E192" s="355">
        <v>6311.25</v>
      </c>
    </row>
    <row r="193" spans="1:5">
      <c r="A193" s="354" t="s">
        <v>1281</v>
      </c>
      <c r="B193" s="355">
        <v>5436.6</v>
      </c>
      <c r="C193" s="355">
        <v>4892.9400000000005</v>
      </c>
      <c r="D193" s="355">
        <v>6795.75</v>
      </c>
      <c r="E193" s="355">
        <v>5776.3874999999998</v>
      </c>
    </row>
    <row r="194" spans="1:5">
      <c r="A194" s="354" t="s">
        <v>1026</v>
      </c>
      <c r="B194" s="355">
        <v>5997.6</v>
      </c>
      <c r="C194" s="355">
        <v>5397.84</v>
      </c>
      <c r="D194" s="355">
        <v>7497</v>
      </c>
      <c r="E194" s="355">
        <v>6372.45</v>
      </c>
    </row>
    <row r="195" spans="1:5">
      <c r="A195" s="354" t="s">
        <v>1025</v>
      </c>
      <c r="B195" s="355">
        <v>8650</v>
      </c>
      <c r="C195" s="355">
        <v>7785</v>
      </c>
      <c r="D195" s="355">
        <v>10812.5</v>
      </c>
      <c r="E195" s="355">
        <v>9190.625</v>
      </c>
    </row>
    <row r="196" spans="1:5">
      <c r="A196" s="354" t="s">
        <v>1027</v>
      </c>
      <c r="B196" s="355">
        <v>7578.6</v>
      </c>
      <c r="C196" s="355">
        <v>6820.7400000000007</v>
      </c>
      <c r="D196" s="355">
        <v>9473.25</v>
      </c>
      <c r="E196" s="355">
        <v>8052.2624999999998</v>
      </c>
    </row>
    <row r="197" spans="1:5">
      <c r="A197" s="354" t="s">
        <v>1019</v>
      </c>
      <c r="B197" s="355">
        <v>6069</v>
      </c>
      <c r="C197" s="355">
        <v>5462.1</v>
      </c>
      <c r="D197" s="355">
        <v>7586.25</v>
      </c>
      <c r="E197" s="355">
        <v>6448.3125</v>
      </c>
    </row>
    <row r="198" spans="1:5">
      <c r="A198" s="354" t="s">
        <v>1022</v>
      </c>
      <c r="B198" s="355">
        <v>7364.4000000000005</v>
      </c>
      <c r="C198" s="355">
        <v>6627.9600000000009</v>
      </c>
      <c r="D198" s="355">
        <v>9205.5</v>
      </c>
      <c r="E198" s="355">
        <v>7824.6750000000002</v>
      </c>
    </row>
    <row r="199" spans="1:5">
      <c r="A199" s="354" t="s">
        <v>1017</v>
      </c>
      <c r="B199" s="355">
        <v>9500</v>
      </c>
      <c r="C199" s="355">
        <v>8550</v>
      </c>
      <c r="D199" s="355">
        <v>11875</v>
      </c>
      <c r="E199" s="355">
        <v>10093.75</v>
      </c>
    </row>
    <row r="200" spans="1:5">
      <c r="A200" s="354" t="s">
        <v>1020</v>
      </c>
      <c r="B200" s="355">
        <v>6069</v>
      </c>
      <c r="C200" s="355">
        <v>5462.1</v>
      </c>
      <c r="D200" s="355">
        <v>7586.25</v>
      </c>
      <c r="E200" s="355">
        <v>6448.3125</v>
      </c>
    </row>
    <row r="201" spans="1:5">
      <c r="A201" s="354" t="s">
        <v>872</v>
      </c>
      <c r="B201" s="355">
        <v>11964.6</v>
      </c>
      <c r="C201" s="355">
        <v>10768.140000000001</v>
      </c>
      <c r="D201" s="355">
        <v>14955.75</v>
      </c>
      <c r="E201" s="355">
        <v>12712.387499999999</v>
      </c>
    </row>
    <row r="202" spans="1:5">
      <c r="A202" s="354" t="s">
        <v>1028</v>
      </c>
      <c r="B202" s="355">
        <v>5950</v>
      </c>
      <c r="C202" s="355">
        <v>5355</v>
      </c>
      <c r="D202" s="355">
        <v>7437.5</v>
      </c>
      <c r="E202" s="355">
        <v>6321.875</v>
      </c>
    </row>
    <row r="203" spans="1:5">
      <c r="A203" s="354" t="s">
        <v>1029</v>
      </c>
      <c r="B203" s="355">
        <v>14392.2</v>
      </c>
      <c r="C203" s="355">
        <v>12952.980000000001</v>
      </c>
      <c r="D203" s="355">
        <v>17990.25</v>
      </c>
      <c r="E203" s="355">
        <v>15291.7125</v>
      </c>
    </row>
    <row r="204" spans="1:5">
      <c r="A204" s="354" t="s">
        <v>1264</v>
      </c>
      <c r="B204" s="355">
        <v>14565.6</v>
      </c>
      <c r="C204" s="355">
        <v>13109.04</v>
      </c>
      <c r="D204" s="355">
        <v>18207</v>
      </c>
      <c r="E204" s="355">
        <v>15475.949999999999</v>
      </c>
    </row>
    <row r="205" spans="1:5">
      <c r="A205" s="354" t="s">
        <v>1016</v>
      </c>
      <c r="B205" s="355">
        <v>5416.2</v>
      </c>
      <c r="C205" s="355">
        <v>4874.58</v>
      </c>
      <c r="D205" s="355">
        <v>6770.25</v>
      </c>
      <c r="E205" s="355">
        <v>5754.7124999999987</v>
      </c>
    </row>
    <row r="206" spans="1:5">
      <c r="A206" s="354" t="s">
        <v>1024</v>
      </c>
      <c r="B206" s="355">
        <v>6589.2</v>
      </c>
      <c r="C206" s="355">
        <v>5930.28</v>
      </c>
      <c r="D206" s="355">
        <v>8236.5</v>
      </c>
      <c r="E206" s="355">
        <v>7001.0249999999996</v>
      </c>
    </row>
    <row r="207" spans="1:5">
      <c r="A207" s="354" t="s">
        <v>1023</v>
      </c>
      <c r="B207" s="355">
        <v>8160</v>
      </c>
      <c r="C207" s="355">
        <v>7344</v>
      </c>
      <c r="D207" s="355">
        <v>10200</v>
      </c>
      <c r="E207" s="355">
        <v>8670</v>
      </c>
    </row>
    <row r="208" spans="1:5">
      <c r="A208" s="354" t="s">
        <v>1021</v>
      </c>
      <c r="B208" s="355">
        <v>6069</v>
      </c>
      <c r="C208" s="355">
        <v>5462.1</v>
      </c>
      <c r="D208" s="355">
        <v>7586.25</v>
      </c>
      <c r="E208" s="355">
        <v>6448.3125</v>
      </c>
    </row>
    <row r="209" spans="1:5">
      <c r="A209" s="354" t="s">
        <v>1018</v>
      </c>
      <c r="B209" s="355">
        <v>8900</v>
      </c>
      <c r="C209" s="355">
        <v>8010</v>
      </c>
      <c r="D209" s="355">
        <v>11125</v>
      </c>
      <c r="E209" s="355">
        <v>9456.25</v>
      </c>
    </row>
    <row r="210" spans="1:5">
      <c r="A210" s="354" t="s">
        <v>1240</v>
      </c>
      <c r="B210" s="355">
        <v>7792.8</v>
      </c>
      <c r="C210" s="355">
        <v>7013.52</v>
      </c>
      <c r="D210" s="355">
        <v>9741</v>
      </c>
      <c r="E210" s="355">
        <v>8279.85</v>
      </c>
    </row>
    <row r="211" spans="1:5">
      <c r="A211" s="354" t="s">
        <v>927</v>
      </c>
      <c r="B211" s="355">
        <v>4090.2000000000003</v>
      </c>
      <c r="C211" s="355">
        <v>3681.1800000000003</v>
      </c>
      <c r="D211" s="355">
        <v>5112.75</v>
      </c>
      <c r="E211" s="355">
        <v>4345.8374999999996</v>
      </c>
    </row>
    <row r="212" spans="1:5">
      <c r="A212" s="354" t="s">
        <v>931</v>
      </c>
      <c r="B212" s="355">
        <v>4926.6000000000004</v>
      </c>
      <c r="C212" s="355">
        <v>4433.9400000000005</v>
      </c>
      <c r="D212" s="355">
        <v>6158.25</v>
      </c>
      <c r="E212" s="355">
        <v>5234.5124999999998</v>
      </c>
    </row>
    <row r="213" spans="1:5">
      <c r="A213" s="354" t="s">
        <v>950</v>
      </c>
      <c r="B213" s="355">
        <v>7752</v>
      </c>
      <c r="C213" s="355">
        <v>6976.8</v>
      </c>
      <c r="D213" s="355">
        <v>9690</v>
      </c>
      <c r="E213" s="355">
        <v>8236.5</v>
      </c>
    </row>
    <row r="214" spans="1:5">
      <c r="A214" s="354" t="s">
        <v>945</v>
      </c>
      <c r="B214" s="355">
        <v>7364.4000000000005</v>
      </c>
      <c r="C214" s="355">
        <v>6627.9600000000009</v>
      </c>
      <c r="D214" s="355">
        <v>9205.5</v>
      </c>
      <c r="E214" s="355">
        <v>7824.6750000000002</v>
      </c>
    </row>
    <row r="215" spans="1:5">
      <c r="A215" s="354" t="s">
        <v>948</v>
      </c>
      <c r="B215" s="355">
        <v>6069</v>
      </c>
      <c r="C215" s="355">
        <v>5462.1</v>
      </c>
      <c r="D215" s="355">
        <v>7586.25</v>
      </c>
      <c r="E215" s="355">
        <v>6448.3125</v>
      </c>
    </row>
    <row r="216" spans="1:5">
      <c r="A216" s="354" t="s">
        <v>951</v>
      </c>
      <c r="B216" s="355">
        <v>7364.4000000000005</v>
      </c>
      <c r="C216" s="355">
        <v>6627.9600000000009</v>
      </c>
      <c r="D216" s="355">
        <v>9205.5</v>
      </c>
      <c r="E216" s="355">
        <v>7824.6750000000002</v>
      </c>
    </row>
    <row r="217" spans="1:5">
      <c r="A217" s="354" t="s">
        <v>943</v>
      </c>
      <c r="B217" s="355">
        <v>7303.2</v>
      </c>
      <c r="C217" s="355">
        <v>6572.88</v>
      </c>
      <c r="D217" s="355">
        <v>9129</v>
      </c>
      <c r="E217" s="355">
        <v>7759.65</v>
      </c>
    </row>
    <row r="218" spans="1:5">
      <c r="A218" s="354" t="s">
        <v>928</v>
      </c>
      <c r="B218" s="355">
        <v>5344.8</v>
      </c>
      <c r="C218" s="355">
        <v>4810.3200000000006</v>
      </c>
      <c r="D218" s="355">
        <v>6681</v>
      </c>
      <c r="E218" s="355">
        <v>5678.8499999999995</v>
      </c>
    </row>
    <row r="219" spans="1:5">
      <c r="A219" s="354" t="s">
        <v>952</v>
      </c>
      <c r="B219" s="355">
        <v>5230</v>
      </c>
      <c r="C219" s="355">
        <v>4707</v>
      </c>
      <c r="D219" s="355">
        <v>6537.5</v>
      </c>
      <c r="E219" s="355">
        <v>5556.875</v>
      </c>
    </row>
    <row r="220" spans="1:5">
      <c r="A220" s="354" t="s">
        <v>932</v>
      </c>
      <c r="B220" s="355">
        <v>5640.6</v>
      </c>
      <c r="C220" s="355">
        <v>5076.5400000000009</v>
      </c>
      <c r="D220" s="355">
        <v>7050.75</v>
      </c>
      <c r="E220" s="355">
        <v>5993.1374999999998</v>
      </c>
    </row>
    <row r="221" spans="1:5">
      <c r="A221" s="354" t="s">
        <v>929</v>
      </c>
      <c r="B221" s="355">
        <v>6048.6</v>
      </c>
      <c r="C221" s="355">
        <v>5443.7400000000007</v>
      </c>
      <c r="D221" s="355">
        <v>7560.75</v>
      </c>
      <c r="E221" s="355">
        <v>6426.6374999999998</v>
      </c>
    </row>
    <row r="222" spans="1:5">
      <c r="A222" s="354" t="s">
        <v>941</v>
      </c>
      <c r="B222" s="355">
        <v>5895.6</v>
      </c>
      <c r="C222" s="355">
        <v>5306.0400000000009</v>
      </c>
      <c r="D222" s="355">
        <v>7369.5</v>
      </c>
      <c r="E222" s="355">
        <v>6264.0749999999998</v>
      </c>
    </row>
    <row r="223" spans="1:5">
      <c r="A223" s="354" t="s">
        <v>940</v>
      </c>
      <c r="B223" s="355">
        <v>5946.6</v>
      </c>
      <c r="C223" s="355">
        <v>5351.9400000000005</v>
      </c>
      <c r="D223" s="355">
        <v>7433.25</v>
      </c>
      <c r="E223" s="355">
        <v>6318.2624999999998</v>
      </c>
    </row>
    <row r="224" spans="1:5">
      <c r="A224" s="354" t="s">
        <v>942</v>
      </c>
      <c r="B224" s="355">
        <v>5936.4000000000005</v>
      </c>
      <c r="C224" s="355">
        <v>5342.76</v>
      </c>
      <c r="D224" s="355">
        <v>7420.5000000000009</v>
      </c>
      <c r="E224" s="355">
        <v>6307.4250000000002</v>
      </c>
    </row>
    <row r="225" spans="1:5">
      <c r="A225" s="354" t="s">
        <v>939</v>
      </c>
      <c r="B225" s="355">
        <v>7588.8</v>
      </c>
      <c r="C225" s="355">
        <v>6829.92</v>
      </c>
      <c r="D225" s="355">
        <v>9486</v>
      </c>
      <c r="E225" s="355">
        <v>8063.0999999999995</v>
      </c>
    </row>
    <row r="226" spans="1:5">
      <c r="A226" s="354" t="s">
        <v>935</v>
      </c>
      <c r="B226" s="355">
        <v>3631.2000000000003</v>
      </c>
      <c r="C226" s="355">
        <v>3268.0800000000004</v>
      </c>
      <c r="D226" s="355">
        <v>4539</v>
      </c>
      <c r="E226" s="355">
        <v>3858.15</v>
      </c>
    </row>
    <row r="227" spans="1:5">
      <c r="A227" s="354" t="s">
        <v>933</v>
      </c>
      <c r="B227" s="355">
        <v>5324.4000000000005</v>
      </c>
      <c r="C227" s="355">
        <v>4791.9600000000009</v>
      </c>
      <c r="D227" s="355">
        <v>6655.5000000000009</v>
      </c>
      <c r="E227" s="355">
        <v>5657.1750000000002</v>
      </c>
    </row>
    <row r="228" spans="1:5">
      <c r="A228" s="354" t="s">
        <v>944</v>
      </c>
      <c r="B228" s="355">
        <v>8761.7999999999993</v>
      </c>
      <c r="C228" s="355">
        <v>7885.62</v>
      </c>
      <c r="D228" s="355">
        <v>10952.25</v>
      </c>
      <c r="E228" s="355">
        <v>9309.4125000000004</v>
      </c>
    </row>
    <row r="229" spans="1:5">
      <c r="A229" s="354" t="s">
        <v>938</v>
      </c>
      <c r="B229" s="355">
        <v>7170.6</v>
      </c>
      <c r="C229" s="355">
        <v>6453.5400000000009</v>
      </c>
      <c r="D229" s="355">
        <v>8963.25</v>
      </c>
      <c r="E229" s="355">
        <v>7618.7624999999998</v>
      </c>
    </row>
    <row r="230" spans="1:5">
      <c r="A230" s="354" t="s">
        <v>947</v>
      </c>
      <c r="B230" s="355">
        <v>4773.6000000000004</v>
      </c>
      <c r="C230" s="355">
        <v>4296.2400000000007</v>
      </c>
      <c r="D230" s="355">
        <v>5967</v>
      </c>
      <c r="E230" s="355">
        <v>5071.95</v>
      </c>
    </row>
    <row r="231" spans="1:5">
      <c r="A231" s="354" t="s">
        <v>949</v>
      </c>
      <c r="B231" s="355">
        <v>6813.6</v>
      </c>
      <c r="C231" s="355">
        <v>6132.2400000000007</v>
      </c>
      <c r="D231" s="355">
        <v>8517</v>
      </c>
      <c r="E231" s="355">
        <v>7239.45</v>
      </c>
    </row>
    <row r="232" spans="1:5">
      <c r="A232" s="354" t="s">
        <v>934</v>
      </c>
      <c r="B232" s="355">
        <v>7100</v>
      </c>
      <c r="C232" s="355">
        <v>6390</v>
      </c>
      <c r="D232" s="355">
        <v>8875</v>
      </c>
      <c r="E232" s="355">
        <v>7543.75</v>
      </c>
    </row>
    <row r="233" spans="1:5">
      <c r="A233" s="354" t="s">
        <v>946</v>
      </c>
      <c r="B233" s="355">
        <v>6630</v>
      </c>
      <c r="C233" s="355">
        <v>5967</v>
      </c>
      <c r="D233" s="355">
        <v>8287.5</v>
      </c>
      <c r="E233" s="355">
        <v>7044.375</v>
      </c>
    </row>
    <row r="234" spans="1:5">
      <c r="A234" s="354" t="s">
        <v>930</v>
      </c>
      <c r="B234" s="355">
        <v>5263.2</v>
      </c>
      <c r="C234" s="355">
        <v>4736.88</v>
      </c>
      <c r="D234" s="355">
        <v>6579</v>
      </c>
      <c r="E234" s="355">
        <v>5592.15</v>
      </c>
    </row>
    <row r="235" spans="1:5">
      <c r="A235" s="354" t="s">
        <v>1274</v>
      </c>
      <c r="B235" s="355">
        <v>4457.3999999999996</v>
      </c>
      <c r="C235" s="355">
        <v>4011.66</v>
      </c>
      <c r="D235" s="355">
        <v>5571.75</v>
      </c>
      <c r="E235" s="355">
        <v>4735.9875000000002</v>
      </c>
    </row>
    <row r="236" spans="1:5">
      <c r="A236" s="354" t="s">
        <v>1041</v>
      </c>
      <c r="B236" s="355">
        <v>7089</v>
      </c>
      <c r="C236" s="355">
        <v>6380.1</v>
      </c>
      <c r="D236" s="355">
        <v>8861.25</v>
      </c>
      <c r="E236" s="355">
        <v>7532.0625</v>
      </c>
    </row>
    <row r="237" spans="1:5">
      <c r="A237" s="354" t="s">
        <v>1030</v>
      </c>
      <c r="B237" s="355">
        <v>6079.2</v>
      </c>
      <c r="C237" s="355">
        <v>5471.28</v>
      </c>
      <c r="D237" s="355">
        <v>7599</v>
      </c>
      <c r="E237" s="355">
        <v>6459.15</v>
      </c>
    </row>
    <row r="238" spans="1:5">
      <c r="A238" s="354" t="s">
        <v>1044</v>
      </c>
      <c r="B238" s="355">
        <v>5406</v>
      </c>
      <c r="C238" s="355">
        <v>4865.4000000000005</v>
      </c>
      <c r="D238" s="355">
        <v>6757.5</v>
      </c>
      <c r="E238" s="355">
        <v>5743.875</v>
      </c>
    </row>
    <row r="239" spans="1:5">
      <c r="A239" s="354" t="s">
        <v>1048</v>
      </c>
      <c r="B239" s="355">
        <v>7537.8</v>
      </c>
      <c r="C239" s="355">
        <v>6784.02</v>
      </c>
      <c r="D239" s="355">
        <v>9422.25</v>
      </c>
      <c r="E239" s="355">
        <v>8008.9124999999995</v>
      </c>
    </row>
    <row r="240" spans="1:5">
      <c r="A240" s="354" t="s">
        <v>1040</v>
      </c>
      <c r="B240" s="355">
        <v>4304.3999999999996</v>
      </c>
      <c r="C240" s="355">
        <v>3873.9599999999996</v>
      </c>
      <c r="D240" s="355">
        <v>5380.5</v>
      </c>
      <c r="E240" s="355">
        <v>4573.4250000000002</v>
      </c>
    </row>
    <row r="241" spans="1:5">
      <c r="A241" s="354" t="s">
        <v>1035</v>
      </c>
      <c r="B241" s="355">
        <v>6813.6</v>
      </c>
      <c r="C241" s="355">
        <v>6132.2400000000007</v>
      </c>
      <c r="D241" s="355">
        <v>8517</v>
      </c>
      <c r="E241" s="355">
        <v>7239.45</v>
      </c>
    </row>
    <row r="242" spans="1:5">
      <c r="A242" s="354" t="s">
        <v>1031</v>
      </c>
      <c r="B242" s="355">
        <v>6293.4000000000005</v>
      </c>
      <c r="C242" s="355">
        <v>5664.06</v>
      </c>
      <c r="D242" s="355">
        <v>7866.7500000000009</v>
      </c>
      <c r="E242" s="355">
        <v>6686.7375000000002</v>
      </c>
    </row>
    <row r="243" spans="1:5">
      <c r="A243" s="354" t="s">
        <v>1038</v>
      </c>
      <c r="B243" s="355">
        <v>6375</v>
      </c>
      <c r="C243" s="355">
        <v>5737.5</v>
      </c>
      <c r="D243" s="355">
        <v>7968.75</v>
      </c>
      <c r="E243" s="355">
        <v>6773.4375</v>
      </c>
    </row>
    <row r="244" spans="1:5">
      <c r="A244" s="354" t="s">
        <v>1045</v>
      </c>
      <c r="B244" s="355">
        <v>7415.4000000000005</v>
      </c>
      <c r="C244" s="355">
        <v>6673.8600000000006</v>
      </c>
      <c r="D244" s="355">
        <v>9269.25</v>
      </c>
      <c r="E244" s="355">
        <v>7878.8625000000002</v>
      </c>
    </row>
    <row r="245" spans="1:5">
      <c r="A245" s="354" t="s">
        <v>1037</v>
      </c>
      <c r="B245" s="355">
        <v>8400</v>
      </c>
      <c r="C245" s="355">
        <v>7560</v>
      </c>
      <c r="D245" s="355">
        <v>10500</v>
      </c>
      <c r="E245" s="355">
        <v>8925</v>
      </c>
    </row>
    <row r="246" spans="1:5">
      <c r="A246" s="354" t="s">
        <v>1047</v>
      </c>
      <c r="B246" s="355">
        <v>6069</v>
      </c>
      <c r="C246" s="355">
        <v>5462.1</v>
      </c>
      <c r="D246" s="355">
        <v>7586.25</v>
      </c>
      <c r="E246" s="355">
        <v>6448.3125</v>
      </c>
    </row>
    <row r="247" spans="1:5">
      <c r="A247" s="354" t="s">
        <v>1036</v>
      </c>
      <c r="B247" s="355">
        <v>6813.6</v>
      </c>
      <c r="C247" s="355">
        <v>6132.2400000000007</v>
      </c>
      <c r="D247" s="355">
        <v>8517</v>
      </c>
      <c r="E247" s="355">
        <v>7239.45</v>
      </c>
    </row>
    <row r="248" spans="1:5">
      <c r="A248" s="354" t="s">
        <v>1039</v>
      </c>
      <c r="B248" s="355">
        <v>7537.8</v>
      </c>
      <c r="C248" s="355">
        <v>6784.02</v>
      </c>
      <c r="D248" s="355">
        <v>9422.25</v>
      </c>
      <c r="E248" s="355">
        <v>8008.9124999999995</v>
      </c>
    </row>
    <row r="249" spans="1:5">
      <c r="A249" s="354" t="s">
        <v>1042</v>
      </c>
      <c r="B249" s="355">
        <v>7803</v>
      </c>
      <c r="C249" s="355">
        <v>7022.7</v>
      </c>
      <c r="D249" s="355">
        <v>9753.75</v>
      </c>
      <c r="E249" s="355">
        <v>8290.6875</v>
      </c>
    </row>
    <row r="250" spans="1:5">
      <c r="A250" s="354" t="s">
        <v>1043</v>
      </c>
      <c r="B250" s="355">
        <v>9850</v>
      </c>
      <c r="C250" s="355">
        <v>8865</v>
      </c>
      <c r="D250" s="355">
        <v>12312.5</v>
      </c>
      <c r="E250" s="355">
        <v>10465.625</v>
      </c>
    </row>
    <row r="251" spans="1:5">
      <c r="A251" s="354" t="s">
        <v>1033</v>
      </c>
      <c r="B251" s="355">
        <v>6089.4000000000005</v>
      </c>
      <c r="C251" s="355">
        <v>5480.4600000000009</v>
      </c>
      <c r="D251" s="355">
        <v>7611.7500000000009</v>
      </c>
      <c r="E251" s="355">
        <v>6469.9875000000002</v>
      </c>
    </row>
    <row r="252" spans="1:5">
      <c r="A252" s="354" t="s">
        <v>1049</v>
      </c>
      <c r="B252" s="355">
        <v>7639.8</v>
      </c>
      <c r="C252" s="355">
        <v>6875.8200000000006</v>
      </c>
      <c r="D252" s="355">
        <v>9549.75</v>
      </c>
      <c r="E252" s="355">
        <v>8117.2874999999995</v>
      </c>
    </row>
    <row r="253" spans="1:5">
      <c r="A253" s="354" t="s">
        <v>1034</v>
      </c>
      <c r="B253" s="355">
        <v>6089.4000000000005</v>
      </c>
      <c r="C253" s="355">
        <v>5480.4600000000009</v>
      </c>
      <c r="D253" s="355">
        <v>7611.7500000000009</v>
      </c>
      <c r="E253" s="355">
        <v>6469.9875000000002</v>
      </c>
    </row>
    <row r="254" spans="1:5">
      <c r="A254" s="354" t="s">
        <v>1032</v>
      </c>
      <c r="B254" s="355">
        <v>6293.4000000000005</v>
      </c>
      <c r="C254" s="355">
        <v>5664.06</v>
      </c>
      <c r="D254" s="355">
        <v>7866.7500000000009</v>
      </c>
      <c r="E254" s="355">
        <v>6686.7375000000002</v>
      </c>
    </row>
    <row r="255" spans="1:5">
      <c r="A255" s="354" t="s">
        <v>1046</v>
      </c>
      <c r="B255" s="355">
        <v>5538.6</v>
      </c>
      <c r="C255" s="355">
        <v>4984.7400000000007</v>
      </c>
      <c r="D255" s="355">
        <v>6923.25</v>
      </c>
      <c r="E255" s="355">
        <v>5884.7624999999998</v>
      </c>
    </row>
    <row r="256" spans="1:5">
      <c r="A256" s="354" t="s">
        <v>1202</v>
      </c>
      <c r="B256" s="355">
        <v>6640</v>
      </c>
      <c r="C256" s="355">
        <v>5976</v>
      </c>
      <c r="D256" s="355">
        <v>8300</v>
      </c>
      <c r="E256" s="355">
        <v>7055</v>
      </c>
    </row>
    <row r="257" spans="1:5">
      <c r="A257" s="354" t="s">
        <v>1205</v>
      </c>
      <c r="B257" s="355">
        <v>5212.2</v>
      </c>
      <c r="C257" s="355">
        <v>4690.9799999999996</v>
      </c>
      <c r="D257" s="355">
        <v>6515.25</v>
      </c>
      <c r="E257" s="355">
        <v>5537.9624999999996</v>
      </c>
    </row>
    <row r="258" spans="1:5">
      <c r="A258" s="354" t="s">
        <v>1230</v>
      </c>
      <c r="B258" s="355">
        <v>7313.4000000000005</v>
      </c>
      <c r="C258" s="355">
        <v>6582.06</v>
      </c>
      <c r="D258" s="355">
        <v>9141.75</v>
      </c>
      <c r="E258" s="355">
        <v>7770.4875000000002</v>
      </c>
    </row>
    <row r="259" spans="1:5">
      <c r="A259" s="354" t="s">
        <v>1272</v>
      </c>
      <c r="B259" s="355">
        <v>5650.8</v>
      </c>
      <c r="C259" s="355">
        <v>5085.72</v>
      </c>
      <c r="D259" s="355">
        <v>7063.5</v>
      </c>
      <c r="E259" s="355">
        <v>6003.9749999999995</v>
      </c>
    </row>
    <row r="260" spans="1:5">
      <c r="A260" s="354" t="s">
        <v>898</v>
      </c>
      <c r="B260" s="355">
        <v>7027.8</v>
      </c>
      <c r="C260" s="355">
        <v>6325.02</v>
      </c>
      <c r="D260" s="355">
        <v>8784.75</v>
      </c>
      <c r="E260" s="355">
        <v>7467.0374999999995</v>
      </c>
    </row>
    <row r="261" spans="1:5">
      <c r="A261" s="354" t="s">
        <v>1005</v>
      </c>
      <c r="B261" s="355">
        <v>7027.8</v>
      </c>
      <c r="C261" s="355">
        <v>6325.02</v>
      </c>
      <c r="D261" s="355">
        <v>8784.75</v>
      </c>
      <c r="E261" s="355">
        <v>7467.0374999999995</v>
      </c>
    </row>
    <row r="262" spans="1:5">
      <c r="A262" s="354" t="s">
        <v>1008</v>
      </c>
      <c r="B262" s="355">
        <v>7364.4000000000005</v>
      </c>
      <c r="C262" s="355">
        <v>6627.9600000000009</v>
      </c>
      <c r="D262" s="355">
        <v>9205.5</v>
      </c>
      <c r="E262" s="355">
        <v>7824.6750000000002</v>
      </c>
    </row>
    <row r="263" spans="1:5">
      <c r="A263" s="354" t="s">
        <v>1009</v>
      </c>
      <c r="B263" s="355">
        <v>5956.8</v>
      </c>
      <c r="C263" s="355">
        <v>5361.12</v>
      </c>
      <c r="D263" s="355">
        <v>7446</v>
      </c>
      <c r="E263" s="355">
        <v>6329.0999999999995</v>
      </c>
    </row>
    <row r="264" spans="1:5">
      <c r="A264" s="354" t="s">
        <v>1006</v>
      </c>
      <c r="B264" s="355">
        <v>6099.6</v>
      </c>
      <c r="C264" s="355">
        <v>5489.64</v>
      </c>
      <c r="D264" s="355">
        <v>7624.5</v>
      </c>
      <c r="E264" s="355">
        <v>6480.8249999999998</v>
      </c>
    </row>
    <row r="265" spans="1:5">
      <c r="A265" s="354" t="s">
        <v>1004</v>
      </c>
      <c r="B265" s="355">
        <v>5559</v>
      </c>
      <c r="C265" s="355">
        <v>5003.1000000000004</v>
      </c>
      <c r="D265" s="355">
        <v>6948.75</v>
      </c>
      <c r="E265" s="355">
        <v>5906.4375</v>
      </c>
    </row>
    <row r="266" spans="1:5">
      <c r="A266" s="354" t="s">
        <v>1007</v>
      </c>
      <c r="B266" s="355">
        <v>7497</v>
      </c>
      <c r="C266" s="355">
        <v>6747.3</v>
      </c>
      <c r="D266" s="355">
        <v>9371.25</v>
      </c>
      <c r="E266" s="355">
        <v>7965.5625</v>
      </c>
    </row>
    <row r="267" spans="1:5">
      <c r="A267" s="354" t="s">
        <v>1010</v>
      </c>
      <c r="B267" s="355">
        <v>5956.8</v>
      </c>
      <c r="C267" s="355">
        <v>5361.12</v>
      </c>
      <c r="D267" s="355">
        <v>7446</v>
      </c>
      <c r="E267" s="355">
        <v>6329.0999999999995</v>
      </c>
    </row>
    <row r="268" spans="1:5">
      <c r="A268" s="354" t="s">
        <v>834</v>
      </c>
      <c r="B268" s="355">
        <v>8935.2000000000007</v>
      </c>
      <c r="C268" s="355">
        <v>8041.6800000000012</v>
      </c>
      <c r="D268" s="355">
        <v>11169</v>
      </c>
      <c r="E268" s="355">
        <v>9493.65</v>
      </c>
    </row>
    <row r="269" spans="1:5">
      <c r="A269" s="354" t="s">
        <v>835</v>
      </c>
      <c r="B269" s="355">
        <v>8353.7999999999993</v>
      </c>
      <c r="C269" s="355">
        <v>7518.4199999999992</v>
      </c>
      <c r="D269" s="355">
        <v>10442.25</v>
      </c>
      <c r="E269" s="355">
        <v>8875.9125000000004</v>
      </c>
    </row>
    <row r="270" spans="1:5">
      <c r="A270" s="354" t="s">
        <v>833</v>
      </c>
      <c r="B270" s="355">
        <v>8078.4000000000005</v>
      </c>
      <c r="C270" s="355">
        <v>7270.56</v>
      </c>
      <c r="D270" s="355">
        <v>10098</v>
      </c>
      <c r="E270" s="355">
        <v>8583.2999999999993</v>
      </c>
    </row>
    <row r="271" spans="1:5">
      <c r="A271" s="354" t="s">
        <v>836</v>
      </c>
      <c r="B271" s="355">
        <v>8353.7999999999993</v>
      </c>
      <c r="C271" s="355">
        <v>7518.4199999999992</v>
      </c>
      <c r="D271" s="355">
        <v>10442.25</v>
      </c>
      <c r="E271" s="355">
        <v>8875.9125000000004</v>
      </c>
    </row>
    <row r="272" spans="1:5">
      <c r="A272" s="354" t="s">
        <v>832</v>
      </c>
      <c r="B272" s="355">
        <v>5457</v>
      </c>
      <c r="C272" s="355">
        <v>4911.3</v>
      </c>
      <c r="D272" s="355">
        <v>6821.25</v>
      </c>
      <c r="E272" s="355">
        <v>5798.0625</v>
      </c>
    </row>
    <row r="273" spans="1:5">
      <c r="A273" s="354" t="s">
        <v>957</v>
      </c>
      <c r="B273" s="355">
        <v>6466.8</v>
      </c>
      <c r="C273" s="355">
        <v>5820.12</v>
      </c>
      <c r="D273" s="355">
        <v>8083.5</v>
      </c>
      <c r="E273" s="355">
        <v>6870.9749999999995</v>
      </c>
    </row>
    <row r="274" spans="1:5">
      <c r="A274" s="354" t="s">
        <v>856</v>
      </c>
      <c r="B274" s="355">
        <v>6670.8</v>
      </c>
      <c r="C274" s="355">
        <v>6003.72</v>
      </c>
      <c r="D274" s="355">
        <v>8338.5</v>
      </c>
      <c r="E274" s="355">
        <v>7087.7249999999995</v>
      </c>
    </row>
    <row r="275" spans="1:5">
      <c r="A275" s="354" t="s">
        <v>851</v>
      </c>
      <c r="B275" s="355">
        <v>4620.6000000000004</v>
      </c>
      <c r="C275" s="355">
        <v>4158.5400000000009</v>
      </c>
      <c r="D275" s="355">
        <v>5775.75</v>
      </c>
      <c r="E275" s="355">
        <v>4909.3874999999998</v>
      </c>
    </row>
    <row r="276" spans="1:5">
      <c r="A276" s="354" t="s">
        <v>849</v>
      </c>
      <c r="B276" s="355">
        <v>6048.6</v>
      </c>
      <c r="C276" s="355">
        <v>5443.7400000000007</v>
      </c>
      <c r="D276" s="355">
        <v>7560.75</v>
      </c>
      <c r="E276" s="355">
        <v>6426.6374999999998</v>
      </c>
    </row>
    <row r="277" spans="1:5">
      <c r="A277" s="354" t="s">
        <v>848</v>
      </c>
      <c r="B277" s="355">
        <v>6048.6</v>
      </c>
      <c r="C277" s="355">
        <v>5443.7400000000007</v>
      </c>
      <c r="D277" s="355">
        <v>7560.75</v>
      </c>
      <c r="E277" s="355">
        <v>6426.6374999999998</v>
      </c>
    </row>
    <row r="278" spans="1:5">
      <c r="A278" s="354" t="s">
        <v>850</v>
      </c>
      <c r="B278" s="355">
        <v>6048.6</v>
      </c>
      <c r="C278" s="355">
        <v>5443.7400000000007</v>
      </c>
      <c r="D278" s="355">
        <v>7560.75</v>
      </c>
      <c r="E278" s="355">
        <v>6426.6374999999998</v>
      </c>
    </row>
    <row r="279" spans="1:5">
      <c r="A279" s="354" t="s">
        <v>841</v>
      </c>
      <c r="B279" s="355">
        <v>7303.2</v>
      </c>
      <c r="C279" s="355">
        <v>6572.88</v>
      </c>
      <c r="D279" s="355">
        <v>9129</v>
      </c>
      <c r="E279" s="355">
        <v>7759.65</v>
      </c>
    </row>
    <row r="280" spans="1:5">
      <c r="A280" s="354" t="s">
        <v>847</v>
      </c>
      <c r="B280" s="355">
        <v>6069</v>
      </c>
      <c r="C280" s="355">
        <v>5462.1</v>
      </c>
      <c r="D280" s="355">
        <v>7586.25</v>
      </c>
      <c r="E280" s="355">
        <v>6448.3125</v>
      </c>
    </row>
    <row r="281" spans="1:5">
      <c r="A281" s="354" t="s">
        <v>840</v>
      </c>
      <c r="B281" s="355">
        <v>4947</v>
      </c>
      <c r="C281" s="355">
        <v>4452.3</v>
      </c>
      <c r="D281" s="355">
        <v>6183.75</v>
      </c>
      <c r="E281" s="355">
        <v>5256.1875</v>
      </c>
    </row>
    <row r="282" spans="1:5">
      <c r="A282" s="354" t="s">
        <v>853</v>
      </c>
      <c r="B282" s="355">
        <v>5661</v>
      </c>
      <c r="C282" s="355">
        <v>5094.9000000000005</v>
      </c>
      <c r="D282" s="355">
        <v>7076.25</v>
      </c>
      <c r="E282" s="355">
        <v>6014.8125</v>
      </c>
    </row>
    <row r="283" spans="1:5">
      <c r="A283" s="354" t="s">
        <v>876</v>
      </c>
      <c r="B283" s="355">
        <v>4100</v>
      </c>
      <c r="C283" s="355">
        <v>3690</v>
      </c>
      <c r="D283" s="355">
        <v>5125</v>
      </c>
      <c r="E283" s="355">
        <v>4356.25</v>
      </c>
    </row>
    <row r="284" spans="1:5">
      <c r="A284" s="354" t="s">
        <v>837</v>
      </c>
      <c r="B284" s="355">
        <v>4500</v>
      </c>
      <c r="C284" s="355">
        <v>4050</v>
      </c>
      <c r="D284" s="355">
        <v>5625</v>
      </c>
      <c r="E284" s="355">
        <v>4781.25</v>
      </c>
    </row>
    <row r="285" spans="1:5">
      <c r="A285" s="354" t="s">
        <v>875</v>
      </c>
      <c r="B285" s="355">
        <v>3250</v>
      </c>
      <c r="C285" s="355">
        <v>2925</v>
      </c>
      <c r="D285" s="355">
        <v>4062.5</v>
      </c>
      <c r="E285" s="355">
        <v>3453.125</v>
      </c>
    </row>
    <row r="286" spans="1:5">
      <c r="A286" s="354" t="s">
        <v>844</v>
      </c>
      <c r="B286" s="355">
        <v>4896</v>
      </c>
      <c r="C286" s="355">
        <v>4406.4000000000005</v>
      </c>
      <c r="D286" s="355">
        <v>6120</v>
      </c>
      <c r="E286" s="355">
        <v>5202</v>
      </c>
    </row>
    <row r="287" spans="1:5">
      <c r="A287" s="354" t="s">
        <v>874</v>
      </c>
      <c r="B287" s="355">
        <v>4671.6000000000004</v>
      </c>
      <c r="C287" s="355">
        <v>4204.4400000000005</v>
      </c>
      <c r="D287" s="355">
        <v>5839.5</v>
      </c>
      <c r="E287" s="355">
        <v>4963.5749999999998</v>
      </c>
    </row>
    <row r="288" spans="1:5">
      <c r="A288" s="354" t="s">
        <v>852</v>
      </c>
      <c r="B288" s="355">
        <v>6069</v>
      </c>
      <c r="C288" s="355">
        <v>5462.1</v>
      </c>
      <c r="D288" s="355">
        <v>7586.25</v>
      </c>
      <c r="E288" s="355">
        <v>6448.3125</v>
      </c>
    </row>
    <row r="289" spans="1:5">
      <c r="A289" s="354" t="s">
        <v>845</v>
      </c>
      <c r="B289" s="355">
        <v>4620.6000000000004</v>
      </c>
      <c r="C289" s="355">
        <v>4158.5400000000009</v>
      </c>
      <c r="D289" s="355">
        <v>5775.75</v>
      </c>
      <c r="E289" s="355">
        <v>4909.3874999999998</v>
      </c>
    </row>
    <row r="290" spans="1:5">
      <c r="A290" s="354" t="s">
        <v>839</v>
      </c>
      <c r="B290" s="355">
        <v>4947</v>
      </c>
      <c r="C290" s="355">
        <v>4452.3</v>
      </c>
      <c r="D290" s="355">
        <v>6183.75</v>
      </c>
      <c r="E290" s="355">
        <v>5256.1875</v>
      </c>
    </row>
    <row r="291" spans="1:5">
      <c r="A291" s="354" t="s">
        <v>838</v>
      </c>
      <c r="B291" s="355">
        <v>4773.6000000000004</v>
      </c>
      <c r="C291" s="355">
        <v>4296.2400000000007</v>
      </c>
      <c r="D291" s="355">
        <v>5967</v>
      </c>
      <c r="E291" s="355">
        <v>5071.95</v>
      </c>
    </row>
    <row r="292" spans="1:5">
      <c r="A292" s="354" t="s">
        <v>846</v>
      </c>
      <c r="B292" s="355">
        <v>4620.6000000000004</v>
      </c>
      <c r="C292" s="355">
        <v>4158.5400000000009</v>
      </c>
      <c r="D292" s="355">
        <v>5775.75</v>
      </c>
      <c r="E292" s="355">
        <v>4909.3874999999998</v>
      </c>
    </row>
    <row r="293" spans="1:5">
      <c r="A293" s="354" t="s">
        <v>854</v>
      </c>
      <c r="B293" s="355">
        <v>7109.4000000000005</v>
      </c>
      <c r="C293" s="355">
        <v>6398.4600000000009</v>
      </c>
      <c r="D293" s="355">
        <v>8886.75</v>
      </c>
      <c r="E293" s="355">
        <v>7553.7375000000002</v>
      </c>
    </row>
    <row r="294" spans="1:5">
      <c r="A294" s="354" t="s">
        <v>843</v>
      </c>
      <c r="B294" s="355">
        <v>5069.3999999999996</v>
      </c>
      <c r="C294" s="355">
        <v>4562.46</v>
      </c>
      <c r="D294" s="355">
        <v>6336.75</v>
      </c>
      <c r="E294" s="355">
        <v>5386.2375000000002</v>
      </c>
    </row>
    <row r="295" spans="1:5">
      <c r="A295" s="354" t="s">
        <v>855</v>
      </c>
      <c r="B295" s="355">
        <v>11923.800000000001</v>
      </c>
      <c r="C295" s="355">
        <v>10731.420000000002</v>
      </c>
      <c r="D295" s="355">
        <v>14904.750000000002</v>
      </c>
      <c r="E295" s="355">
        <v>12669.0375</v>
      </c>
    </row>
    <row r="296" spans="1:5">
      <c r="A296" s="354" t="s">
        <v>842</v>
      </c>
      <c r="B296" s="355">
        <v>7364.4000000000005</v>
      </c>
      <c r="C296" s="355">
        <v>6627.9600000000009</v>
      </c>
      <c r="D296" s="355">
        <v>9205.5</v>
      </c>
      <c r="E296" s="355">
        <v>7824.6750000000002</v>
      </c>
    </row>
    <row r="297" spans="1:5">
      <c r="A297" s="354" t="s">
        <v>922</v>
      </c>
      <c r="B297" s="355">
        <v>6313.8</v>
      </c>
      <c r="C297" s="355">
        <v>5682.42</v>
      </c>
      <c r="D297" s="355">
        <v>7892.25</v>
      </c>
      <c r="E297" s="355">
        <v>6708.4124999999995</v>
      </c>
    </row>
    <row r="298" spans="1:5">
      <c r="A298" s="354" t="s">
        <v>926</v>
      </c>
      <c r="B298" s="355">
        <v>6250</v>
      </c>
      <c r="C298" s="355">
        <v>5625</v>
      </c>
      <c r="D298" s="355">
        <v>7812.5</v>
      </c>
      <c r="E298" s="355">
        <v>6640.625</v>
      </c>
    </row>
    <row r="299" spans="1:5">
      <c r="A299" s="354" t="s">
        <v>923</v>
      </c>
      <c r="B299" s="355">
        <v>7558.2</v>
      </c>
      <c r="C299" s="355">
        <v>6802.38</v>
      </c>
      <c r="D299" s="355">
        <v>9447.75</v>
      </c>
      <c r="E299" s="355">
        <v>8030.5874999999996</v>
      </c>
    </row>
    <row r="300" spans="1:5">
      <c r="A300" s="354" t="s">
        <v>924</v>
      </c>
      <c r="B300" s="355">
        <v>7588.8</v>
      </c>
      <c r="C300" s="355">
        <v>6829.92</v>
      </c>
      <c r="D300" s="355">
        <v>9486</v>
      </c>
      <c r="E300" s="355">
        <v>8063.0999999999995</v>
      </c>
    </row>
    <row r="301" spans="1:5">
      <c r="A301" s="354" t="s">
        <v>925</v>
      </c>
      <c r="B301" s="355">
        <v>7588.8</v>
      </c>
      <c r="C301" s="355">
        <v>6829.92</v>
      </c>
      <c r="D301" s="355">
        <v>9486</v>
      </c>
      <c r="E301" s="355">
        <v>8063.0999999999995</v>
      </c>
    </row>
    <row r="302" spans="1:5">
      <c r="A302" s="354" t="s">
        <v>1094</v>
      </c>
      <c r="B302" s="355">
        <v>7303.2</v>
      </c>
      <c r="C302" s="355">
        <v>6572.88</v>
      </c>
      <c r="D302" s="355">
        <v>9129</v>
      </c>
      <c r="E302" s="355">
        <v>7759.65</v>
      </c>
    </row>
    <row r="303" spans="1:5">
      <c r="A303" s="354" t="s">
        <v>1097</v>
      </c>
      <c r="B303" s="355">
        <v>7446</v>
      </c>
      <c r="C303" s="355">
        <v>6701.4000000000005</v>
      </c>
      <c r="D303" s="355">
        <v>9307.5</v>
      </c>
      <c r="E303" s="355">
        <v>7911.375</v>
      </c>
    </row>
    <row r="304" spans="1:5">
      <c r="A304" s="354" t="s">
        <v>1095</v>
      </c>
      <c r="B304" s="355">
        <v>7456.2</v>
      </c>
      <c r="C304" s="355">
        <v>6710.58</v>
      </c>
      <c r="D304" s="355">
        <v>9320.25</v>
      </c>
      <c r="E304" s="355">
        <v>7922.2124999999996</v>
      </c>
    </row>
    <row r="305" spans="1:5">
      <c r="A305" s="354" t="s">
        <v>1099</v>
      </c>
      <c r="B305" s="355">
        <v>6548.4000000000005</v>
      </c>
      <c r="C305" s="355">
        <v>5893.56</v>
      </c>
      <c r="D305" s="355">
        <v>8185.5000000000009</v>
      </c>
      <c r="E305" s="355">
        <v>6957.6750000000002</v>
      </c>
    </row>
    <row r="306" spans="1:5">
      <c r="A306" s="354" t="s">
        <v>1098</v>
      </c>
      <c r="B306" s="355">
        <v>6670.8</v>
      </c>
      <c r="C306" s="355">
        <v>6003.72</v>
      </c>
      <c r="D306" s="355">
        <v>8338.5</v>
      </c>
      <c r="E306" s="355">
        <v>7087.7249999999995</v>
      </c>
    </row>
    <row r="307" spans="1:5">
      <c r="A307" s="354" t="s">
        <v>1100</v>
      </c>
      <c r="B307" s="355">
        <v>7191</v>
      </c>
      <c r="C307" s="355">
        <v>6471.9000000000005</v>
      </c>
      <c r="D307" s="355">
        <v>8988.75</v>
      </c>
      <c r="E307" s="355">
        <v>7640.4375</v>
      </c>
    </row>
    <row r="308" spans="1:5">
      <c r="A308" s="354" t="s">
        <v>1096</v>
      </c>
      <c r="B308" s="355">
        <v>8659.7999999999993</v>
      </c>
      <c r="C308" s="355">
        <v>7793.82</v>
      </c>
      <c r="D308" s="355">
        <v>10824.75</v>
      </c>
      <c r="E308" s="355">
        <v>9201.0375000000004</v>
      </c>
    </row>
    <row r="309" spans="1:5">
      <c r="A309" s="354" t="s">
        <v>1304</v>
      </c>
      <c r="B309" s="355">
        <v>6120</v>
      </c>
      <c r="C309" s="355">
        <v>5508</v>
      </c>
      <c r="D309" s="355">
        <v>7650</v>
      </c>
      <c r="E309" s="355">
        <v>6502.5</v>
      </c>
    </row>
    <row r="310" spans="1:5">
      <c r="A310" s="354" t="s">
        <v>1091</v>
      </c>
      <c r="B310" s="355">
        <v>7354.2</v>
      </c>
      <c r="C310" s="355">
        <v>6618.78</v>
      </c>
      <c r="D310" s="355">
        <v>9192.75</v>
      </c>
      <c r="E310" s="355">
        <v>7813.8374999999996</v>
      </c>
    </row>
    <row r="311" spans="1:5">
      <c r="A311" s="354" t="s">
        <v>1087</v>
      </c>
      <c r="B311" s="355">
        <v>6956.4000000000005</v>
      </c>
      <c r="C311" s="355">
        <v>6260.76</v>
      </c>
      <c r="D311" s="355">
        <v>8695.5</v>
      </c>
      <c r="E311" s="355">
        <v>7391.1750000000002</v>
      </c>
    </row>
    <row r="312" spans="1:5">
      <c r="A312" s="354" t="s">
        <v>1092</v>
      </c>
      <c r="B312" s="355">
        <v>7354.2</v>
      </c>
      <c r="C312" s="355">
        <v>6618.78</v>
      </c>
      <c r="D312" s="355">
        <v>9192.75</v>
      </c>
      <c r="E312" s="355">
        <v>7813.8374999999996</v>
      </c>
    </row>
    <row r="313" spans="1:5">
      <c r="A313" s="354" t="s">
        <v>1090</v>
      </c>
      <c r="B313" s="355">
        <v>7354.2</v>
      </c>
      <c r="C313" s="355">
        <v>6618.78</v>
      </c>
      <c r="D313" s="355">
        <v>9192.75</v>
      </c>
      <c r="E313" s="355">
        <v>7813.8374999999996</v>
      </c>
    </row>
    <row r="314" spans="1:5">
      <c r="A314" s="354" t="s">
        <v>1089</v>
      </c>
      <c r="B314" s="355">
        <v>7333.8</v>
      </c>
      <c r="C314" s="355">
        <v>6600.42</v>
      </c>
      <c r="D314" s="355">
        <v>9167.25</v>
      </c>
      <c r="E314" s="355">
        <v>7792.1624999999995</v>
      </c>
    </row>
    <row r="315" spans="1:5">
      <c r="A315" s="354" t="s">
        <v>1088</v>
      </c>
      <c r="B315" s="355">
        <v>6895.2</v>
      </c>
      <c r="C315" s="355">
        <v>6205.68</v>
      </c>
      <c r="D315" s="355">
        <v>8619</v>
      </c>
      <c r="E315" s="355">
        <v>7326.15</v>
      </c>
    </row>
    <row r="316" spans="1:5">
      <c r="A316" s="354" t="s">
        <v>1093</v>
      </c>
      <c r="B316" s="355">
        <v>6925.8</v>
      </c>
      <c r="C316" s="355">
        <v>6233.22</v>
      </c>
      <c r="D316" s="355">
        <v>8657.25</v>
      </c>
      <c r="E316" s="355">
        <v>7358.6624999999995</v>
      </c>
    </row>
    <row r="317" spans="1:5">
      <c r="A317" s="354" t="s">
        <v>969</v>
      </c>
      <c r="B317" s="355">
        <v>7619.4000000000005</v>
      </c>
      <c r="C317" s="355">
        <v>6857.4600000000009</v>
      </c>
      <c r="D317" s="355">
        <v>9524.25</v>
      </c>
      <c r="E317" s="355">
        <v>8095.6125000000002</v>
      </c>
    </row>
    <row r="318" spans="1:5">
      <c r="A318" s="354" t="s">
        <v>970</v>
      </c>
      <c r="B318" s="355">
        <v>6528</v>
      </c>
      <c r="C318" s="355">
        <v>5875.2</v>
      </c>
      <c r="D318" s="355">
        <v>8160</v>
      </c>
      <c r="E318" s="355">
        <v>6936</v>
      </c>
    </row>
    <row r="319" spans="1:5">
      <c r="A319" s="354" t="s">
        <v>977</v>
      </c>
      <c r="B319" s="355">
        <v>5783.4000000000005</v>
      </c>
      <c r="C319" s="355">
        <v>5205.0600000000004</v>
      </c>
      <c r="D319" s="355">
        <v>7229.2500000000009</v>
      </c>
      <c r="E319" s="355">
        <v>6144.8625000000002</v>
      </c>
    </row>
    <row r="320" spans="1:5">
      <c r="A320" s="354" t="s">
        <v>976</v>
      </c>
      <c r="B320" s="355">
        <v>6364.8</v>
      </c>
      <c r="C320" s="355">
        <v>5728.3200000000006</v>
      </c>
      <c r="D320" s="355">
        <v>7956</v>
      </c>
      <c r="E320" s="355">
        <v>6762.5999999999995</v>
      </c>
    </row>
    <row r="321" spans="1:5">
      <c r="A321" s="354" t="s">
        <v>961</v>
      </c>
      <c r="B321" s="355">
        <v>4406.3999999999996</v>
      </c>
      <c r="C321" s="355">
        <v>3965.7599999999998</v>
      </c>
      <c r="D321" s="355">
        <v>5508</v>
      </c>
      <c r="E321" s="355">
        <v>4681.8</v>
      </c>
    </row>
    <row r="322" spans="1:5">
      <c r="A322" s="354" t="s">
        <v>964</v>
      </c>
      <c r="B322" s="355">
        <v>4804.2</v>
      </c>
      <c r="C322" s="355">
        <v>4323.78</v>
      </c>
      <c r="D322" s="355">
        <v>6005.25</v>
      </c>
      <c r="E322" s="355">
        <v>5104.4624999999996</v>
      </c>
    </row>
    <row r="323" spans="1:5">
      <c r="A323" s="354" t="s">
        <v>971</v>
      </c>
      <c r="B323" s="355">
        <v>6742.2</v>
      </c>
      <c r="C323" s="355">
        <v>6067.98</v>
      </c>
      <c r="D323" s="355">
        <v>8427.75</v>
      </c>
      <c r="E323" s="355">
        <v>7163.5874999999996</v>
      </c>
    </row>
    <row r="324" spans="1:5">
      <c r="A324" s="354" t="s">
        <v>958</v>
      </c>
      <c r="B324" s="355">
        <v>6874.8</v>
      </c>
      <c r="C324" s="355">
        <v>6187.3200000000006</v>
      </c>
      <c r="D324" s="355">
        <v>8593.5</v>
      </c>
      <c r="E324" s="355">
        <v>7304.4749999999995</v>
      </c>
    </row>
    <row r="325" spans="1:5">
      <c r="A325" s="354" t="s">
        <v>960</v>
      </c>
      <c r="B325" s="355">
        <v>4681.8</v>
      </c>
      <c r="C325" s="355">
        <v>4213.62</v>
      </c>
      <c r="D325" s="355">
        <v>5852.25</v>
      </c>
      <c r="E325" s="355">
        <v>4974.4124999999995</v>
      </c>
    </row>
    <row r="326" spans="1:5">
      <c r="A326" s="354" t="s">
        <v>936</v>
      </c>
      <c r="B326" s="355">
        <v>6048.6</v>
      </c>
      <c r="C326" s="355">
        <v>5443.7400000000007</v>
      </c>
      <c r="D326" s="355">
        <v>7560.75</v>
      </c>
      <c r="E326" s="355">
        <v>6426.6374999999998</v>
      </c>
    </row>
    <row r="327" spans="1:5">
      <c r="A327" s="354" t="s">
        <v>959</v>
      </c>
      <c r="B327" s="355">
        <v>7609.2</v>
      </c>
      <c r="C327" s="355">
        <v>6848.28</v>
      </c>
      <c r="D327" s="355">
        <v>9511.5</v>
      </c>
      <c r="E327" s="355">
        <v>8084.7749999999996</v>
      </c>
    </row>
    <row r="328" spans="1:5">
      <c r="A328" s="354" t="s">
        <v>972</v>
      </c>
      <c r="B328" s="355">
        <v>6925.8</v>
      </c>
      <c r="C328" s="355">
        <v>6233.22</v>
      </c>
      <c r="D328" s="355">
        <v>8657.25</v>
      </c>
      <c r="E328" s="355">
        <v>7358.6624999999995</v>
      </c>
    </row>
    <row r="329" spans="1:5">
      <c r="A329" s="354" t="s">
        <v>973</v>
      </c>
      <c r="B329" s="355">
        <v>6385.2</v>
      </c>
      <c r="C329" s="355">
        <v>5746.68</v>
      </c>
      <c r="D329" s="355">
        <v>7981.5</v>
      </c>
      <c r="E329" s="355">
        <v>6784.2749999999996</v>
      </c>
    </row>
    <row r="330" spans="1:5">
      <c r="A330" s="354" t="s">
        <v>967</v>
      </c>
      <c r="B330" s="355">
        <v>6120</v>
      </c>
      <c r="C330" s="355">
        <v>5508</v>
      </c>
      <c r="D330" s="355">
        <v>7650</v>
      </c>
      <c r="E330" s="355">
        <v>6502.5</v>
      </c>
    </row>
    <row r="331" spans="1:5">
      <c r="A331" s="354" t="s">
        <v>962</v>
      </c>
      <c r="B331" s="355">
        <v>5069.3999999999996</v>
      </c>
      <c r="C331" s="355">
        <v>4562.46</v>
      </c>
      <c r="D331" s="355">
        <v>6336.75</v>
      </c>
      <c r="E331" s="355">
        <v>5386.2375000000002</v>
      </c>
    </row>
    <row r="332" spans="1:5">
      <c r="A332" s="354" t="s">
        <v>974</v>
      </c>
      <c r="B332" s="355">
        <v>5620.2</v>
      </c>
      <c r="C332" s="355">
        <v>5058.18</v>
      </c>
      <c r="D332" s="355">
        <v>7025.25</v>
      </c>
      <c r="E332" s="355">
        <v>5971.4624999999996</v>
      </c>
    </row>
    <row r="333" spans="1:5">
      <c r="A333" s="354" t="s">
        <v>978</v>
      </c>
      <c r="B333" s="355">
        <v>7089</v>
      </c>
      <c r="C333" s="355">
        <v>6380.1</v>
      </c>
      <c r="D333" s="355">
        <v>8861.25</v>
      </c>
      <c r="E333" s="355">
        <v>7532.0625</v>
      </c>
    </row>
    <row r="334" spans="1:5">
      <c r="A334" s="354" t="s">
        <v>965</v>
      </c>
      <c r="B334" s="355">
        <v>5691.6</v>
      </c>
      <c r="C334" s="355">
        <v>5122.4400000000005</v>
      </c>
      <c r="D334" s="355">
        <v>7114.5</v>
      </c>
      <c r="E334" s="355">
        <v>6047.3249999999998</v>
      </c>
    </row>
    <row r="335" spans="1:5">
      <c r="A335" s="354" t="s">
        <v>968</v>
      </c>
      <c r="B335" s="355">
        <v>5834.4000000000005</v>
      </c>
      <c r="C335" s="355">
        <v>5250.9600000000009</v>
      </c>
      <c r="D335" s="355">
        <v>7293.0000000000009</v>
      </c>
      <c r="E335" s="355">
        <v>6199.05</v>
      </c>
    </row>
    <row r="336" spans="1:5">
      <c r="A336" s="354" t="s">
        <v>966</v>
      </c>
      <c r="B336" s="355">
        <v>6200</v>
      </c>
      <c r="C336" s="355">
        <v>5580</v>
      </c>
      <c r="D336" s="355">
        <v>7750</v>
      </c>
      <c r="E336" s="355">
        <v>6587.5</v>
      </c>
    </row>
    <row r="337" spans="1:5">
      <c r="A337" s="354" t="s">
        <v>937</v>
      </c>
      <c r="B337" s="355">
        <v>5263.2</v>
      </c>
      <c r="C337" s="355">
        <v>4736.88</v>
      </c>
      <c r="D337" s="355">
        <v>6579</v>
      </c>
      <c r="E337" s="355">
        <v>5592.15</v>
      </c>
    </row>
    <row r="338" spans="1:5">
      <c r="A338" s="354" t="s">
        <v>963</v>
      </c>
      <c r="B338" s="355">
        <v>4743</v>
      </c>
      <c r="C338" s="355">
        <v>4268.7</v>
      </c>
      <c r="D338" s="355">
        <v>5928.75</v>
      </c>
      <c r="E338" s="355">
        <v>5039.4375</v>
      </c>
    </row>
    <row r="339" spans="1:5">
      <c r="A339" s="354" t="s">
        <v>975</v>
      </c>
      <c r="B339" s="355">
        <v>5059.2</v>
      </c>
      <c r="C339" s="355">
        <v>4553.28</v>
      </c>
      <c r="D339" s="355">
        <v>6324</v>
      </c>
      <c r="E339" s="355">
        <v>5375.4</v>
      </c>
    </row>
    <row r="340" spans="1:5">
      <c r="A340" s="354" t="s">
        <v>1233</v>
      </c>
      <c r="B340" s="355">
        <v>5344.8</v>
      </c>
      <c r="C340" s="355">
        <v>4810.3200000000006</v>
      </c>
      <c r="D340" s="355">
        <v>6681</v>
      </c>
      <c r="E340" s="355">
        <v>5678.8499999999995</v>
      </c>
    </row>
    <row r="341" spans="1:5">
      <c r="A341" s="354" t="s">
        <v>1241</v>
      </c>
      <c r="B341" s="355">
        <v>4406.3999999999996</v>
      </c>
      <c r="C341" s="355">
        <v>3965.7599999999998</v>
      </c>
      <c r="D341" s="355">
        <v>5508</v>
      </c>
      <c r="E341" s="355">
        <v>4681.8</v>
      </c>
    </row>
    <row r="342" spans="1:5">
      <c r="A342" s="354" t="s">
        <v>1284</v>
      </c>
      <c r="B342" s="355">
        <v>6395.4000000000005</v>
      </c>
      <c r="C342" s="355">
        <v>5755.8600000000006</v>
      </c>
      <c r="D342" s="355">
        <v>7994.2500000000009</v>
      </c>
      <c r="E342" s="355">
        <v>6795.1125000000002</v>
      </c>
    </row>
    <row r="343" spans="1:5">
      <c r="A343" s="354" t="s">
        <v>1144</v>
      </c>
      <c r="B343" s="355">
        <v>7500</v>
      </c>
      <c r="C343" s="355">
        <v>6750</v>
      </c>
      <c r="D343" s="355">
        <v>9375</v>
      </c>
      <c r="E343" s="355">
        <v>7968.75</v>
      </c>
    </row>
    <row r="344" spans="1:5">
      <c r="A344" s="354" t="s">
        <v>1143</v>
      </c>
      <c r="B344" s="355">
        <v>5956.8</v>
      </c>
      <c r="C344" s="355">
        <v>5361.12</v>
      </c>
      <c r="D344" s="355">
        <v>7446</v>
      </c>
      <c r="E344" s="355">
        <v>6329.0999999999995</v>
      </c>
    </row>
    <row r="345" spans="1:5">
      <c r="A345" s="354" t="s">
        <v>979</v>
      </c>
      <c r="B345" s="355">
        <v>7017.6</v>
      </c>
      <c r="C345" s="355">
        <v>6315.84</v>
      </c>
      <c r="D345" s="355">
        <v>8772</v>
      </c>
      <c r="E345" s="355">
        <v>7456.2</v>
      </c>
    </row>
    <row r="346" spans="1:5">
      <c r="A346" s="354" t="s">
        <v>980</v>
      </c>
      <c r="B346" s="355">
        <v>8241.6</v>
      </c>
      <c r="C346" s="355">
        <v>7417.4400000000005</v>
      </c>
      <c r="D346" s="355">
        <v>10302</v>
      </c>
      <c r="E346" s="355">
        <v>8756.6999999999989</v>
      </c>
    </row>
    <row r="347" spans="1:5">
      <c r="A347" s="354" t="s">
        <v>1286</v>
      </c>
      <c r="B347" s="355">
        <v>8710.7999999999993</v>
      </c>
      <c r="C347" s="355">
        <v>7839.7199999999993</v>
      </c>
      <c r="D347" s="355">
        <v>10888.5</v>
      </c>
      <c r="E347" s="355">
        <v>9255.2250000000004</v>
      </c>
    </row>
    <row r="348" spans="1:5">
      <c r="A348" s="354" t="s">
        <v>857</v>
      </c>
      <c r="B348" s="355">
        <v>4702.2</v>
      </c>
      <c r="C348" s="355">
        <v>4231.9799999999996</v>
      </c>
      <c r="D348" s="355">
        <v>5877.75</v>
      </c>
      <c r="E348" s="355">
        <v>4996.0874999999996</v>
      </c>
    </row>
    <row r="349" spans="1:5">
      <c r="A349" s="354" t="s">
        <v>860</v>
      </c>
      <c r="B349" s="355">
        <v>4651.2</v>
      </c>
      <c r="C349" s="355">
        <v>4186.08</v>
      </c>
      <c r="D349" s="355">
        <v>5814</v>
      </c>
      <c r="E349" s="355">
        <v>4941.8999999999996</v>
      </c>
    </row>
    <row r="350" spans="1:5">
      <c r="A350" s="354" t="s">
        <v>858</v>
      </c>
      <c r="B350" s="355">
        <v>4610.3999999999996</v>
      </c>
      <c r="C350" s="355">
        <v>4149.3599999999997</v>
      </c>
      <c r="D350" s="355">
        <v>5763</v>
      </c>
      <c r="E350" s="355">
        <v>4898.55</v>
      </c>
    </row>
    <row r="351" spans="1:5">
      <c r="A351" s="354" t="s">
        <v>859</v>
      </c>
      <c r="B351" s="355">
        <v>4610.3999999999996</v>
      </c>
      <c r="C351" s="355">
        <v>4149.3599999999997</v>
      </c>
      <c r="D351" s="355">
        <v>5763</v>
      </c>
      <c r="E351" s="355">
        <v>4898.55</v>
      </c>
    </row>
    <row r="352" spans="1:5">
      <c r="A352" s="354" t="s">
        <v>863</v>
      </c>
      <c r="B352" s="355">
        <v>5732.4000000000005</v>
      </c>
      <c r="C352" s="355">
        <v>5159.1600000000008</v>
      </c>
      <c r="D352" s="355">
        <v>7165.5000000000009</v>
      </c>
      <c r="E352" s="355">
        <v>6090.6750000000002</v>
      </c>
    </row>
    <row r="353" spans="1:5">
      <c r="A353" s="354" t="s">
        <v>861</v>
      </c>
      <c r="B353" s="355">
        <v>4998</v>
      </c>
      <c r="C353" s="355">
        <v>4498.2</v>
      </c>
      <c r="D353" s="355">
        <v>6247.5</v>
      </c>
      <c r="E353" s="355">
        <v>5310.375</v>
      </c>
    </row>
    <row r="354" spans="1:5">
      <c r="A354" s="354" t="s">
        <v>864</v>
      </c>
      <c r="B354" s="355">
        <v>5732.4000000000005</v>
      </c>
      <c r="C354" s="355">
        <v>5159.1600000000008</v>
      </c>
      <c r="D354" s="355">
        <v>7165.5000000000009</v>
      </c>
      <c r="E354" s="355">
        <v>6090.6750000000002</v>
      </c>
    </row>
    <row r="355" spans="1:5">
      <c r="A355" s="354" t="s">
        <v>1225</v>
      </c>
      <c r="B355" s="355">
        <v>4610.3999999999996</v>
      </c>
      <c r="C355" s="355">
        <v>4149.3599999999997</v>
      </c>
      <c r="D355" s="355">
        <v>5763</v>
      </c>
      <c r="E355" s="355">
        <v>4898.55</v>
      </c>
    </row>
    <row r="356" spans="1:5">
      <c r="A356" s="354" t="s">
        <v>1145</v>
      </c>
      <c r="B356" s="355">
        <v>3180</v>
      </c>
      <c r="C356" s="355">
        <v>2862</v>
      </c>
      <c r="D356" s="355">
        <v>3975</v>
      </c>
      <c r="E356" s="355">
        <v>3378.75</v>
      </c>
    </row>
    <row r="357" spans="1:5">
      <c r="A357" s="354" t="s">
        <v>1146</v>
      </c>
      <c r="B357" s="355">
        <v>2520</v>
      </c>
      <c r="C357" s="355">
        <v>2268</v>
      </c>
      <c r="D357" s="355">
        <v>3150</v>
      </c>
      <c r="E357" s="355">
        <v>2677.5</v>
      </c>
    </row>
    <row r="358" spans="1:5">
      <c r="A358" s="354" t="s">
        <v>1147</v>
      </c>
      <c r="B358" s="355">
        <v>2520</v>
      </c>
      <c r="C358" s="355">
        <v>2268</v>
      </c>
      <c r="D358" s="355">
        <v>3150</v>
      </c>
      <c r="E358" s="355">
        <v>2677.5</v>
      </c>
    </row>
    <row r="359" spans="1:5">
      <c r="A359" s="354" t="s">
        <v>953</v>
      </c>
      <c r="B359" s="355">
        <v>7588.8</v>
      </c>
      <c r="C359" s="355">
        <v>6829.92</v>
      </c>
      <c r="D359" s="355">
        <v>9486</v>
      </c>
      <c r="E359" s="355">
        <v>8063.0999999999995</v>
      </c>
    </row>
    <row r="360" spans="1:5">
      <c r="A360" s="354" t="s">
        <v>954</v>
      </c>
      <c r="B360" s="355">
        <v>8313</v>
      </c>
      <c r="C360" s="355">
        <v>7481.7</v>
      </c>
      <c r="D360" s="355">
        <v>10391.25</v>
      </c>
      <c r="E360" s="355">
        <v>8832.5625</v>
      </c>
    </row>
    <row r="361" spans="1:5">
      <c r="A361" s="354" t="s">
        <v>913</v>
      </c>
      <c r="B361" s="355">
        <v>4080</v>
      </c>
      <c r="C361" s="355">
        <v>3672</v>
      </c>
      <c r="D361" s="355">
        <v>5100</v>
      </c>
      <c r="E361" s="355">
        <v>4335</v>
      </c>
    </row>
    <row r="362" spans="1:5">
      <c r="A362" s="354" t="s">
        <v>912</v>
      </c>
      <c r="B362" s="355">
        <v>4182</v>
      </c>
      <c r="C362" s="355">
        <v>3763.8</v>
      </c>
      <c r="D362" s="355">
        <v>5227.5</v>
      </c>
      <c r="E362" s="355">
        <v>4443.375</v>
      </c>
    </row>
    <row r="363" spans="1:5">
      <c r="A363" s="354" t="s">
        <v>910</v>
      </c>
      <c r="B363" s="355">
        <v>4447.2</v>
      </c>
      <c r="C363" s="355">
        <v>4002.48</v>
      </c>
      <c r="D363" s="355">
        <v>5559</v>
      </c>
      <c r="E363" s="355">
        <v>4725.1499999999996</v>
      </c>
    </row>
    <row r="364" spans="1:5">
      <c r="A364" s="354" t="s">
        <v>877</v>
      </c>
      <c r="B364" s="355">
        <v>4855.2</v>
      </c>
      <c r="C364" s="355">
        <v>4122</v>
      </c>
      <c r="D364" s="355">
        <v>5725</v>
      </c>
      <c r="E364" s="355">
        <v>4866.25</v>
      </c>
    </row>
    <row r="365" spans="1:5">
      <c r="A365" s="354" t="s">
        <v>878</v>
      </c>
      <c r="B365" s="355">
        <v>4360</v>
      </c>
      <c r="C365" s="355">
        <v>4122</v>
      </c>
      <c r="D365" s="355">
        <v>5725</v>
      </c>
      <c r="E365" s="355">
        <v>4866.25</v>
      </c>
    </row>
    <row r="366" spans="1:5">
      <c r="A366" s="354" t="s">
        <v>911</v>
      </c>
      <c r="B366" s="355">
        <v>6700</v>
      </c>
      <c r="C366" s="355">
        <v>6030</v>
      </c>
      <c r="D366" s="355">
        <v>8375</v>
      </c>
      <c r="E366" s="355">
        <v>7118.75</v>
      </c>
    </row>
    <row r="367" spans="1:5">
      <c r="A367" s="354" t="s">
        <v>865</v>
      </c>
      <c r="B367" s="355">
        <v>6670.8</v>
      </c>
      <c r="C367" s="355">
        <v>6003.72</v>
      </c>
      <c r="D367" s="355">
        <v>8338.5</v>
      </c>
      <c r="E367" s="355">
        <v>7087.7249999999995</v>
      </c>
    </row>
    <row r="368" spans="1:5">
      <c r="A368" s="354" t="s">
        <v>921</v>
      </c>
      <c r="B368" s="355">
        <v>6864.6</v>
      </c>
      <c r="C368" s="355">
        <v>6178.14</v>
      </c>
      <c r="D368" s="355">
        <v>8580.75</v>
      </c>
      <c r="E368" s="355">
        <v>7293.6374999999998</v>
      </c>
    </row>
    <row r="369" spans="1:5">
      <c r="A369" s="354" t="s">
        <v>15</v>
      </c>
      <c r="B369" s="355">
        <v>100</v>
      </c>
      <c r="C369" s="355">
        <v>90</v>
      </c>
      <c r="D369" s="355">
        <v>130</v>
      </c>
      <c r="E369" s="355">
        <v>111</v>
      </c>
    </row>
    <row r="370" spans="1:5">
      <c r="A370" s="354" t="s">
        <v>794</v>
      </c>
      <c r="B370" s="355">
        <v>60</v>
      </c>
      <c r="C370" s="355">
        <v>54</v>
      </c>
      <c r="D370" s="355">
        <v>80</v>
      </c>
      <c r="E370" s="355">
        <v>68</v>
      </c>
    </row>
    <row r="371" spans="1:5">
      <c r="A371" s="354" t="s">
        <v>1314</v>
      </c>
      <c r="B371" s="355">
        <v>1248.28</v>
      </c>
      <c r="C371" s="355">
        <v>802.46571428571428</v>
      </c>
      <c r="D371" s="355">
        <v>3914.25</v>
      </c>
      <c r="E371" s="355">
        <v>948.8732142857142</v>
      </c>
    </row>
    <row r="372" spans="1:5">
      <c r="A372" s="354" t="s">
        <v>1325</v>
      </c>
      <c r="B372" s="355">
        <v>4182</v>
      </c>
      <c r="C372" s="355">
        <v>3763.8</v>
      </c>
      <c r="D372" s="355">
        <v>5227.5</v>
      </c>
      <c r="E372" s="355">
        <v>4443.375</v>
      </c>
    </row>
    <row r="373" spans="1:5">
      <c r="A373" s="354" t="s">
        <v>1327</v>
      </c>
      <c r="B373" s="355">
        <v>5273.4000000000005</v>
      </c>
      <c r="C373" s="355">
        <v>4746.0600000000004</v>
      </c>
      <c r="D373" s="355">
        <v>6591.7500000000009</v>
      </c>
      <c r="E373" s="355">
        <v>5602.9875000000002</v>
      </c>
    </row>
    <row r="374" spans="1:5">
      <c r="A374" s="354" t="s">
        <v>1349</v>
      </c>
      <c r="B374" s="355">
        <v>7599</v>
      </c>
      <c r="C374" s="355">
        <v>6839.1</v>
      </c>
      <c r="D374" s="355">
        <v>9498.75</v>
      </c>
      <c r="E374" s="355">
        <v>8073.9375</v>
      </c>
    </row>
    <row r="375" spans="1:5">
      <c r="A375" s="354" t="s">
        <v>1354</v>
      </c>
      <c r="B375" s="355">
        <v>8466</v>
      </c>
      <c r="C375" s="355">
        <v>7619.4000000000005</v>
      </c>
      <c r="D375" s="355">
        <v>10582.5</v>
      </c>
      <c r="E375" s="355">
        <v>8995.125</v>
      </c>
    </row>
    <row r="376" spans="1:5">
      <c r="A376" s="354" t="s">
        <v>1356</v>
      </c>
      <c r="B376" s="355">
        <v>430</v>
      </c>
      <c r="C376" s="355">
        <v>387</v>
      </c>
      <c r="D376" s="355">
        <v>540</v>
      </c>
      <c r="E376" s="355">
        <v>460</v>
      </c>
    </row>
    <row r="377" spans="1:5">
      <c r="A377" s="354" t="s">
        <v>1369</v>
      </c>
      <c r="B377" s="355">
        <v>7038</v>
      </c>
      <c r="C377" s="355">
        <v>6334.2</v>
      </c>
      <c r="D377" s="355">
        <v>8797.5</v>
      </c>
      <c r="E377" s="355">
        <v>7477.875</v>
      </c>
    </row>
    <row r="378" spans="1:5">
      <c r="A378" s="354" t="s">
        <v>1364</v>
      </c>
      <c r="B378" s="355">
        <v>5049</v>
      </c>
      <c r="C378" s="355">
        <v>4544.1000000000004</v>
      </c>
      <c r="D378" s="355">
        <v>6311.25</v>
      </c>
      <c r="E378" s="355">
        <v>5364.5625</v>
      </c>
    </row>
    <row r="379" spans="1:5">
      <c r="A379" s="354" t="s">
        <v>1365</v>
      </c>
      <c r="B379" s="355">
        <v>3978</v>
      </c>
      <c r="C379" s="355">
        <v>3580.2000000000003</v>
      </c>
      <c r="D379" s="355">
        <v>4972.5</v>
      </c>
      <c r="E379" s="355">
        <v>4226.625</v>
      </c>
    </row>
    <row r="380" spans="1:5">
      <c r="A380" s="354" t="s">
        <v>1375</v>
      </c>
      <c r="B380" s="355">
        <v>15606</v>
      </c>
      <c r="C380" s="355">
        <v>14045.4</v>
      </c>
      <c r="D380" s="355">
        <v>19507.5</v>
      </c>
      <c r="E380" s="355">
        <v>16581.375</v>
      </c>
    </row>
    <row r="381" spans="1:5">
      <c r="A381" s="354" t="s">
        <v>1377</v>
      </c>
      <c r="B381" s="355">
        <v>8445.6</v>
      </c>
      <c r="C381" s="355">
        <v>7601.0400000000009</v>
      </c>
      <c r="D381" s="355">
        <v>10557</v>
      </c>
      <c r="E381" s="355">
        <v>8973.4499999999989</v>
      </c>
    </row>
    <row r="382" spans="1:5">
      <c r="A382" s="354" t="s">
        <v>1378</v>
      </c>
      <c r="B382" s="355">
        <v>12250.2</v>
      </c>
      <c r="C382" s="355">
        <v>11025.18</v>
      </c>
      <c r="D382" s="355">
        <v>15312.75</v>
      </c>
      <c r="E382" s="355">
        <v>13015.8375</v>
      </c>
    </row>
    <row r="383" spans="1:5">
      <c r="A383" s="354" t="s">
        <v>1370</v>
      </c>
      <c r="B383" s="355">
        <v>4386</v>
      </c>
      <c r="C383" s="355">
        <v>3947.4</v>
      </c>
      <c r="D383" s="355">
        <v>5482.5</v>
      </c>
      <c r="E383" s="355">
        <v>4660.125</v>
      </c>
    </row>
    <row r="384" spans="1:5">
      <c r="A384" s="354" t="s">
        <v>1393</v>
      </c>
      <c r="B384" s="355">
        <v>19645.2</v>
      </c>
      <c r="C384" s="355">
        <v>17680.68</v>
      </c>
      <c r="D384" s="355">
        <v>24556.5</v>
      </c>
      <c r="E384" s="355">
        <v>20873.024999999998</v>
      </c>
    </row>
    <row r="385" spans="1:5">
      <c r="A385" s="354" t="s">
        <v>1390</v>
      </c>
      <c r="B385" s="355">
        <v>7344</v>
      </c>
      <c r="C385" s="355">
        <v>6609.6</v>
      </c>
      <c r="D385" s="355">
        <v>9180</v>
      </c>
      <c r="E385" s="355">
        <v>7803</v>
      </c>
    </row>
    <row r="386" spans="1:5">
      <c r="A386" s="354" t="s">
        <v>1389</v>
      </c>
      <c r="B386" s="355">
        <v>8058</v>
      </c>
      <c r="C386" s="355">
        <v>7252.2</v>
      </c>
      <c r="D386" s="355">
        <v>10072.5</v>
      </c>
      <c r="E386" s="355">
        <v>8561.625</v>
      </c>
    </row>
    <row r="387" spans="1:5">
      <c r="A387" s="354" t="s">
        <v>1395</v>
      </c>
      <c r="B387" s="355">
        <v>6477</v>
      </c>
      <c r="C387" s="355">
        <v>5829.3</v>
      </c>
      <c r="D387" s="355">
        <v>8096.25</v>
      </c>
      <c r="E387" s="355">
        <v>6881.8125</v>
      </c>
    </row>
    <row r="388" spans="1:5">
      <c r="A388" s="354" t="s">
        <v>1398</v>
      </c>
      <c r="B388" s="355">
        <v>8568</v>
      </c>
      <c r="C388" s="355">
        <v>7711.2</v>
      </c>
      <c r="D388" s="355">
        <v>10710</v>
      </c>
      <c r="E388" s="355">
        <v>9103.5</v>
      </c>
    </row>
    <row r="389" spans="1:5">
      <c r="A389" s="354" t="s">
        <v>1400</v>
      </c>
      <c r="B389" s="355">
        <v>21828</v>
      </c>
      <c r="C389" s="355">
        <v>19645.2</v>
      </c>
      <c r="D389" s="355">
        <v>27285</v>
      </c>
      <c r="E389" s="355">
        <v>23192.25</v>
      </c>
    </row>
    <row r="390" spans="1:5">
      <c r="A390" s="354" t="s">
        <v>1401</v>
      </c>
      <c r="B390" s="355">
        <v>19890</v>
      </c>
      <c r="C390" s="355">
        <v>17901</v>
      </c>
      <c r="D390" s="355">
        <v>24862.5</v>
      </c>
      <c r="E390" s="355">
        <v>21133.125</v>
      </c>
    </row>
    <row r="391" spans="1:5">
      <c r="A391" s="354" t="s">
        <v>1379</v>
      </c>
      <c r="B391" s="355">
        <v>12178.800000000001</v>
      </c>
      <c r="C391" s="355">
        <v>10960.920000000002</v>
      </c>
      <c r="D391" s="355">
        <v>15223.500000000002</v>
      </c>
      <c r="E391" s="355">
        <v>12939.975</v>
      </c>
    </row>
    <row r="392" spans="1:5">
      <c r="A392" s="354" t="s">
        <v>1403</v>
      </c>
      <c r="B392" s="355">
        <v>17136</v>
      </c>
      <c r="C392" s="355">
        <v>15422.4</v>
      </c>
      <c r="D392" s="355">
        <v>21420</v>
      </c>
      <c r="E392" s="355">
        <v>18207</v>
      </c>
    </row>
    <row r="393" spans="1:5">
      <c r="A393" s="354" t="s">
        <v>1406</v>
      </c>
      <c r="B393" s="355">
        <v>5916</v>
      </c>
      <c r="C393" s="355">
        <v>5324.4000000000005</v>
      </c>
      <c r="D393" s="355">
        <v>7395</v>
      </c>
      <c r="E393" s="355">
        <v>6285.75</v>
      </c>
    </row>
    <row r="394" spans="1:5">
      <c r="A394" s="354" t="s">
        <v>1408</v>
      </c>
      <c r="B394" s="355">
        <v>6630</v>
      </c>
      <c r="C394" s="355">
        <v>5967</v>
      </c>
      <c r="D394" s="355">
        <v>8287.5</v>
      </c>
      <c r="E394" s="355">
        <v>7044.375</v>
      </c>
    </row>
    <row r="395" spans="1:5">
      <c r="A395" s="354" t="s">
        <v>1443</v>
      </c>
      <c r="B395" s="355">
        <v>5304</v>
      </c>
      <c r="C395" s="355">
        <v>4773.6000000000004</v>
      </c>
      <c r="D395" s="355">
        <v>6630</v>
      </c>
      <c r="E395" s="355">
        <v>5635.5</v>
      </c>
    </row>
    <row r="396" spans="1:5">
      <c r="A396" s="354" t="s">
        <v>1438</v>
      </c>
      <c r="B396" s="355">
        <v>6834</v>
      </c>
      <c r="C396" s="355">
        <v>6150.6</v>
      </c>
      <c r="D396" s="355">
        <v>8542.5</v>
      </c>
      <c r="E396" s="355">
        <v>7261.125</v>
      </c>
    </row>
    <row r="397" spans="1:5">
      <c r="A397" s="354" t="s">
        <v>1315</v>
      </c>
      <c r="B397" s="355">
        <v>6940.0364331210158</v>
      </c>
      <c r="C397" s="355">
        <v>6230.3491719745234</v>
      </c>
      <c r="D397" s="355">
        <v>32500</v>
      </c>
      <c r="E397" s="355">
        <v>7355.312606157112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outlinePr summaryBelow="0" summaryRight="0"/>
  </sheetPr>
  <dimension ref="A1:AY432"/>
  <sheetViews>
    <sheetView zoomScale="70" zoomScaleNormal="70" zoomScaleSheetLayoutView="80" workbookViewId="0">
      <pane ySplit="5" topLeftCell="A49" activePane="bottomLeft" state="frozen"/>
      <selection pane="bottomLeft" activeCell="M1" sqref="M1:M1048576"/>
    </sheetView>
  </sheetViews>
  <sheetFormatPr defaultColWidth="8.85546875" defaultRowHeight="15.75"/>
  <cols>
    <col min="1" max="1" width="0.85546875" style="144" customWidth="1"/>
    <col min="2" max="2" width="12.85546875" style="27" bestFit="1" customWidth="1"/>
    <col min="3" max="3" width="10.7109375" style="23" customWidth="1"/>
    <col min="4" max="4" width="63" style="22" customWidth="1"/>
    <col min="5" max="5" width="15" style="7" customWidth="1"/>
    <col min="6" max="6" width="14" style="7" customWidth="1"/>
    <col min="7" max="10" width="15" style="24" customWidth="1"/>
    <col min="11" max="11" width="17.42578125" style="24" customWidth="1"/>
    <col min="12" max="12" width="18.85546875" style="214" customWidth="1"/>
    <col min="13" max="37" width="8.85546875" style="14" customWidth="1"/>
    <col min="38" max="51" width="8.85546875" style="6" customWidth="1"/>
    <col min="52" max="16384" width="8.85546875" style="2"/>
  </cols>
  <sheetData>
    <row r="1" spans="1:51" s="14" customFormat="1">
      <c r="A1" s="21"/>
      <c r="B1" s="870" t="s">
        <v>805</v>
      </c>
      <c r="C1" s="871"/>
      <c r="D1" s="871"/>
      <c r="E1" s="871"/>
      <c r="F1" s="296"/>
      <c r="G1" s="33"/>
      <c r="H1" s="33"/>
      <c r="I1" s="33"/>
      <c r="J1" s="33"/>
      <c r="K1" s="33"/>
      <c r="L1" s="211"/>
    </row>
    <row r="2" spans="1:51" s="3" customFormat="1" ht="66" customHeight="1">
      <c r="A2" s="143"/>
      <c r="B2" s="871"/>
      <c r="C2" s="871"/>
      <c r="D2" s="871"/>
      <c r="E2" s="871"/>
      <c r="F2" s="296"/>
      <c r="G2" s="33"/>
      <c r="H2" s="33"/>
      <c r="I2" s="33"/>
      <c r="J2" s="33"/>
      <c r="K2" s="33"/>
      <c r="L2" s="372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</row>
    <row r="3" spans="1:51" ht="20.25" customHeight="1" thickBot="1">
      <c r="B3" s="875" t="s">
        <v>1470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</row>
    <row r="4" spans="1:51" ht="38.25" customHeight="1" thickBot="1">
      <c r="B4" s="18"/>
      <c r="C4" s="18"/>
      <c r="D4" s="356"/>
      <c r="E4" s="113" t="s">
        <v>353</v>
      </c>
      <c r="F4" s="310" t="s">
        <v>1180</v>
      </c>
      <c r="G4" s="358"/>
      <c r="H4" s="111"/>
      <c r="I4" s="138"/>
      <c r="J4" s="93"/>
      <c r="K4" s="880" t="s">
        <v>112</v>
      </c>
      <c r="L4" s="881"/>
    </row>
    <row r="5" spans="1:51" ht="54" customHeight="1" thickBot="1">
      <c r="B5" s="19" t="s">
        <v>398</v>
      </c>
      <c r="C5" s="18" t="s">
        <v>91</v>
      </c>
      <c r="D5" s="360" t="s">
        <v>357</v>
      </c>
      <c r="E5" s="207" t="s">
        <v>97</v>
      </c>
      <c r="F5" s="315" t="s">
        <v>1179</v>
      </c>
      <c r="G5" s="359" t="s">
        <v>111</v>
      </c>
      <c r="H5" s="19" t="s">
        <v>146</v>
      </c>
      <c r="I5" s="252" t="s">
        <v>394</v>
      </c>
      <c r="J5" s="92" t="s">
        <v>399</v>
      </c>
      <c r="K5" s="327" t="s">
        <v>652</v>
      </c>
      <c r="L5" s="255" t="s">
        <v>113</v>
      </c>
    </row>
    <row r="6" spans="1:51" s="42" customFormat="1" ht="18" customHeight="1">
      <c r="A6" s="145"/>
      <c r="B6" s="147"/>
      <c r="C6" s="148"/>
      <c r="D6" s="357" t="s">
        <v>254</v>
      </c>
      <c r="E6" s="150"/>
      <c r="F6" s="309"/>
      <c r="G6" s="299"/>
      <c r="H6" s="151"/>
      <c r="I6" s="162"/>
      <c r="J6" s="153"/>
      <c r="K6" s="316"/>
      <c r="L6" s="254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</row>
    <row r="7" spans="1:51" s="4" customFormat="1" ht="21.75" customHeight="1">
      <c r="A7" s="146"/>
      <c r="B7" s="284" t="s">
        <v>1299</v>
      </c>
      <c r="C7" s="207" t="s">
        <v>96</v>
      </c>
      <c r="D7" s="125" t="s">
        <v>1298</v>
      </c>
      <c r="E7" s="317" t="s">
        <v>89</v>
      </c>
      <c r="F7" s="308" t="str">
        <f>HYPERLINK("http://www.bosal-autoflex.ru/instructions1/"&amp;LEFT(B7,4)&amp;MID(B7,6,4)&amp;".pdf","@")</f>
        <v>@</v>
      </c>
      <c r="G7" s="349"/>
      <c r="H7" s="140" t="s">
        <v>183</v>
      </c>
      <c r="I7" s="129" t="s">
        <v>1184</v>
      </c>
      <c r="J7" s="140"/>
      <c r="K7" s="329">
        <f>1.02*2220</f>
        <v>2264.4</v>
      </c>
      <c r="L7" s="212">
        <f>K7*1.25</f>
        <v>2830.5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51" s="4" customFormat="1" ht="21.75" customHeight="1">
      <c r="A8" s="146"/>
      <c r="B8" s="284" t="s">
        <v>1185</v>
      </c>
      <c r="C8" s="207" t="s">
        <v>103</v>
      </c>
      <c r="D8" s="125" t="s">
        <v>1298</v>
      </c>
      <c r="E8" s="317" t="s">
        <v>89</v>
      </c>
      <c r="F8" s="308" t="str">
        <f>HYPERLINK("http://www.bosal-autoflex.ru/instructions1/"&amp;LEFT(B8,4)&amp;MID(B8,6,4)&amp;".pdf","@")</f>
        <v>@</v>
      </c>
      <c r="G8" s="349"/>
      <c r="H8" s="140" t="s">
        <v>188</v>
      </c>
      <c r="I8" s="129" t="s">
        <v>1186</v>
      </c>
      <c r="J8" s="129"/>
      <c r="K8" s="329">
        <f>1.02*3770</f>
        <v>3845.4</v>
      </c>
      <c r="L8" s="212">
        <f>K8*1.25</f>
        <v>4806.75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51" s="4" customFormat="1" ht="21.75" customHeight="1">
      <c r="A9" s="146"/>
      <c r="B9" s="147"/>
      <c r="C9" s="148"/>
      <c r="D9" s="350" t="s">
        <v>1261</v>
      </c>
      <c r="E9" s="152"/>
      <c r="F9" s="309"/>
      <c r="G9" s="299"/>
      <c r="H9" s="153"/>
      <c r="I9" s="253"/>
      <c r="J9" s="153"/>
      <c r="K9" s="330"/>
      <c r="L9" s="326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51" s="4" customFormat="1" ht="21.75" customHeight="1">
      <c r="A10" s="146"/>
      <c r="B10" s="284" t="s">
        <v>1173</v>
      </c>
      <c r="C10" s="207" t="s">
        <v>103</v>
      </c>
      <c r="D10" s="125" t="s">
        <v>1262</v>
      </c>
      <c r="E10" s="347" t="s">
        <v>648</v>
      </c>
      <c r="F10" s="308" t="str">
        <f t="shared" ref="F10:F12" si="0">HYPERLINK("http://www.bosal-autoflex.ru/instructions1/"&amp;LEFT(B10,4)&amp;MID(B10,6,4)&amp;".pdf","@")</f>
        <v>@</v>
      </c>
      <c r="G10" s="349"/>
      <c r="H10" s="140"/>
      <c r="I10" s="129"/>
      <c r="J10" s="129"/>
      <c r="K10" s="329">
        <f>1.02*3100</f>
        <v>3162</v>
      </c>
      <c r="L10" s="212">
        <f>K10*1.25</f>
        <v>3952.5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51" s="4" customFormat="1" ht="21.75" customHeight="1">
      <c r="A11" s="146"/>
      <c r="B11" s="284" t="s">
        <v>1172</v>
      </c>
      <c r="C11" s="207" t="s">
        <v>96</v>
      </c>
      <c r="D11" s="125" t="s">
        <v>1266</v>
      </c>
      <c r="E11" s="351" t="s">
        <v>648</v>
      </c>
      <c r="F11" s="308" t="str">
        <f t="shared" ref="F11" si="1">HYPERLINK("http://www.bosal-autoflex.ru/instructions1/"&amp;LEFT(B11,4)&amp;MID(B11,6,4)&amp;".pdf","@")</f>
        <v>@</v>
      </c>
      <c r="G11" s="349"/>
      <c r="H11" s="140"/>
      <c r="I11" s="129"/>
      <c r="J11" s="129"/>
      <c r="K11" s="329">
        <f>1.02*1908</f>
        <v>1946.16</v>
      </c>
      <c r="L11" s="212">
        <f>K11*1.25</f>
        <v>2432.7000000000003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51" s="4" customFormat="1" ht="21.75" customHeight="1">
      <c r="A12" s="146"/>
      <c r="B12" s="284" t="s">
        <v>1174</v>
      </c>
      <c r="C12" s="207" t="s">
        <v>96</v>
      </c>
      <c r="D12" s="125" t="s">
        <v>1263</v>
      </c>
      <c r="E12" s="347" t="s">
        <v>648</v>
      </c>
      <c r="F12" s="308" t="str">
        <f t="shared" si="0"/>
        <v>@</v>
      </c>
      <c r="G12" s="349"/>
      <c r="H12" s="140"/>
      <c r="I12" s="129"/>
      <c r="J12" s="129"/>
      <c r="K12" s="329">
        <f>1.02*2024</f>
        <v>2064.48</v>
      </c>
      <c r="L12" s="212">
        <f>K12*1.25</f>
        <v>2580.6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51" s="42" customFormat="1" ht="18" customHeight="1">
      <c r="A13" s="146"/>
      <c r="B13" s="147"/>
      <c r="C13" s="148"/>
      <c r="D13" s="149" t="s">
        <v>358</v>
      </c>
      <c r="E13" s="152"/>
      <c r="F13" s="309"/>
      <c r="G13" s="299"/>
      <c r="H13" s="153"/>
      <c r="I13" s="253"/>
      <c r="J13" s="153"/>
      <c r="K13" s="330"/>
      <c r="L13" s="326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51" s="4" customFormat="1" ht="19.5" customHeight="1">
      <c r="A14" s="146"/>
      <c r="B14" s="373" t="s">
        <v>1148</v>
      </c>
      <c r="C14" s="373" t="s">
        <v>96</v>
      </c>
      <c r="D14" s="380" t="s">
        <v>362</v>
      </c>
      <c r="E14" s="381" t="s">
        <v>365</v>
      </c>
      <c r="F14" s="382" t="str">
        <f t="shared" ref="F14:F55" si="2">HYPERLINK("http://www.bosal-autoflex.ru/instructions1/"&amp;LEFT(B14,4)&amp;MID(B14,6,4)&amp;".pdf","@")</f>
        <v>@</v>
      </c>
      <c r="G14" s="383"/>
      <c r="H14" s="384" t="s">
        <v>179</v>
      </c>
      <c r="I14" s="385" t="s">
        <v>153</v>
      </c>
      <c r="J14" s="385"/>
      <c r="K14" s="386">
        <v>2750</v>
      </c>
      <c r="L14" s="376">
        <f t="shared" ref="L14:L25" si="3">K14*1.25</f>
        <v>3437.5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51" s="4" customFormat="1" ht="21" customHeight="1">
      <c r="A15" s="146"/>
      <c r="B15" s="373" t="s">
        <v>1149</v>
      </c>
      <c r="C15" s="377" t="s">
        <v>143</v>
      </c>
      <c r="D15" s="380" t="s">
        <v>362</v>
      </c>
      <c r="E15" s="381" t="s">
        <v>365</v>
      </c>
      <c r="F15" s="382" t="str">
        <f t="shared" si="2"/>
        <v>@</v>
      </c>
      <c r="G15" s="387"/>
      <c r="H15" s="384" t="s">
        <v>179</v>
      </c>
      <c r="I15" s="385" t="s">
        <v>153</v>
      </c>
      <c r="J15" s="385"/>
      <c r="K15" s="386">
        <v>2500</v>
      </c>
      <c r="L15" s="376">
        <f t="shared" si="3"/>
        <v>3125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51" s="4" customFormat="1" ht="21.75" customHeight="1">
      <c r="A16" s="146"/>
      <c r="B16" s="373" t="s">
        <v>1150</v>
      </c>
      <c r="C16" s="374" t="s">
        <v>92</v>
      </c>
      <c r="D16" s="388" t="s">
        <v>19</v>
      </c>
      <c r="E16" s="378" t="s">
        <v>126</v>
      </c>
      <c r="F16" s="382" t="str">
        <f t="shared" si="2"/>
        <v>@</v>
      </c>
      <c r="G16" s="389"/>
      <c r="H16" s="375" t="s">
        <v>243</v>
      </c>
      <c r="I16" s="385" t="s">
        <v>161</v>
      </c>
      <c r="J16" s="385"/>
      <c r="K16" s="386">
        <v>5050</v>
      </c>
      <c r="L16" s="376">
        <f t="shared" si="3"/>
        <v>6312.5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s="4" customFormat="1" ht="19.5" customHeight="1">
      <c r="A17" s="146"/>
      <c r="B17" s="18" t="s">
        <v>1151</v>
      </c>
      <c r="C17" s="32" t="s">
        <v>92</v>
      </c>
      <c r="D17" s="29" t="s">
        <v>0</v>
      </c>
      <c r="E17" s="90" t="s">
        <v>142</v>
      </c>
      <c r="F17" s="308" t="str">
        <f t="shared" si="2"/>
        <v>@</v>
      </c>
      <c r="G17" s="301"/>
      <c r="H17" s="106" t="s">
        <v>243</v>
      </c>
      <c r="I17" s="141" t="s">
        <v>247</v>
      </c>
      <c r="J17" s="129"/>
      <c r="K17" s="331">
        <f>1.02*5497</f>
        <v>5606.9400000000005</v>
      </c>
      <c r="L17" s="212">
        <f t="shared" si="3"/>
        <v>7008.6750000000011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s="4" customFormat="1" ht="18" customHeight="1">
      <c r="A18" s="146"/>
      <c r="B18" s="18" t="s">
        <v>1152</v>
      </c>
      <c r="C18" s="32" t="s">
        <v>92</v>
      </c>
      <c r="D18" s="29" t="s">
        <v>20</v>
      </c>
      <c r="E18" s="108" t="s">
        <v>363</v>
      </c>
      <c r="F18" s="308" t="str">
        <f t="shared" si="2"/>
        <v>@</v>
      </c>
      <c r="G18" s="301"/>
      <c r="H18" s="106" t="s">
        <v>243</v>
      </c>
      <c r="I18" s="141" t="s">
        <v>147</v>
      </c>
      <c r="J18" s="129"/>
      <c r="K18" s="331">
        <f>1.02*3865</f>
        <v>3942.3</v>
      </c>
      <c r="L18" s="212">
        <f t="shared" si="3"/>
        <v>4927.875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s="4" customFormat="1" ht="18.75" customHeight="1">
      <c r="A19" s="146"/>
      <c r="B19" s="373" t="s">
        <v>1153</v>
      </c>
      <c r="C19" s="373" t="s">
        <v>96</v>
      </c>
      <c r="D19" s="388" t="s">
        <v>21</v>
      </c>
      <c r="E19" s="378" t="s">
        <v>363</v>
      </c>
      <c r="F19" s="382" t="str">
        <f t="shared" si="2"/>
        <v>@</v>
      </c>
      <c r="G19" s="389"/>
      <c r="H19" s="390" t="s">
        <v>190</v>
      </c>
      <c r="I19" s="385" t="s">
        <v>152</v>
      </c>
      <c r="J19" s="385"/>
      <c r="K19" s="386">
        <v>2580</v>
      </c>
      <c r="L19" s="376">
        <f t="shared" si="3"/>
        <v>3225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s="4" customFormat="1" ht="20.25" customHeight="1">
      <c r="A20" s="146"/>
      <c r="B20" s="373" t="s">
        <v>1154</v>
      </c>
      <c r="C20" s="373" t="s">
        <v>96</v>
      </c>
      <c r="D20" s="388" t="s">
        <v>22</v>
      </c>
      <c r="E20" s="378" t="s">
        <v>364</v>
      </c>
      <c r="F20" s="382" t="str">
        <f t="shared" si="2"/>
        <v>@</v>
      </c>
      <c r="G20" s="389"/>
      <c r="H20" s="390" t="s">
        <v>190</v>
      </c>
      <c r="I20" s="385" t="s">
        <v>151</v>
      </c>
      <c r="J20" s="385"/>
      <c r="K20" s="386">
        <v>3020</v>
      </c>
      <c r="L20" s="376">
        <f t="shared" si="3"/>
        <v>3775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s="4" customFormat="1" ht="30.75" customHeight="1">
      <c r="A21" s="146"/>
      <c r="B21" s="19" t="s">
        <v>1155</v>
      </c>
      <c r="C21" s="19" t="s">
        <v>96</v>
      </c>
      <c r="D21" s="30" t="s">
        <v>1376</v>
      </c>
      <c r="E21" s="77" t="s">
        <v>365</v>
      </c>
      <c r="F21" s="308" t="str">
        <f t="shared" si="2"/>
        <v>@</v>
      </c>
      <c r="G21" s="300"/>
      <c r="H21" s="127" t="s">
        <v>190</v>
      </c>
      <c r="I21" s="129" t="s">
        <v>147</v>
      </c>
      <c r="J21" s="129"/>
      <c r="K21" s="329">
        <f>1.02*2813</f>
        <v>2869.26</v>
      </c>
      <c r="L21" s="212">
        <f t="shared" si="3"/>
        <v>3586.5750000000003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s="4" customFormat="1" ht="18.75" customHeight="1">
      <c r="A22" s="146"/>
      <c r="B22" s="76" t="s">
        <v>1156</v>
      </c>
      <c r="C22" s="32" t="s">
        <v>96</v>
      </c>
      <c r="D22" s="29" t="s">
        <v>74</v>
      </c>
      <c r="E22" s="108" t="s">
        <v>99</v>
      </c>
      <c r="F22" s="308" t="str">
        <f t="shared" si="2"/>
        <v>@</v>
      </c>
      <c r="G22" s="303"/>
      <c r="H22" s="106" t="s">
        <v>385</v>
      </c>
      <c r="I22" s="139" t="s">
        <v>151</v>
      </c>
      <c r="J22" s="129"/>
      <c r="K22" s="332">
        <f>1.02*3014</f>
        <v>3074.28</v>
      </c>
      <c r="L22" s="212">
        <f t="shared" si="3"/>
        <v>3842.8500000000004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s="4" customFormat="1" ht="18.75" customHeight="1">
      <c r="A23" s="146"/>
      <c r="B23" s="373" t="s">
        <v>1157</v>
      </c>
      <c r="C23" s="374" t="s">
        <v>92</v>
      </c>
      <c r="D23" s="388" t="s">
        <v>432</v>
      </c>
      <c r="E23" s="378" t="s">
        <v>368</v>
      </c>
      <c r="F23" s="382" t="str">
        <f t="shared" si="2"/>
        <v>@</v>
      </c>
      <c r="G23" s="391"/>
      <c r="H23" s="375" t="s">
        <v>92</v>
      </c>
      <c r="I23" s="385" t="s">
        <v>356</v>
      </c>
      <c r="J23" s="385"/>
      <c r="K23" s="386">
        <v>5950</v>
      </c>
      <c r="L23" s="376">
        <f t="shared" si="3"/>
        <v>7437.5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4" customFormat="1" ht="18.75" customHeight="1">
      <c r="A24" s="146"/>
      <c r="B24" s="207" t="s">
        <v>1158</v>
      </c>
      <c r="C24" s="32" t="s">
        <v>92</v>
      </c>
      <c r="D24" s="29" t="s">
        <v>1238</v>
      </c>
      <c r="E24" s="108" t="s">
        <v>549</v>
      </c>
      <c r="F24" s="308" t="str">
        <f t="shared" si="2"/>
        <v>@</v>
      </c>
      <c r="G24" s="303"/>
      <c r="H24" s="106" t="s">
        <v>92</v>
      </c>
      <c r="I24" s="139" t="s">
        <v>248</v>
      </c>
      <c r="J24" s="129"/>
      <c r="K24" s="332">
        <f>1.02*5774</f>
        <v>5889.4800000000005</v>
      </c>
      <c r="L24" s="212">
        <f t="shared" si="3"/>
        <v>7361.85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s="4" customFormat="1" ht="18.75" customHeight="1">
      <c r="A25" s="146"/>
      <c r="B25" s="207" t="s">
        <v>1412</v>
      </c>
      <c r="C25" s="32" t="s">
        <v>92</v>
      </c>
      <c r="D25" s="29" t="s">
        <v>1413</v>
      </c>
      <c r="E25" s="108" t="s">
        <v>1360</v>
      </c>
      <c r="F25" s="308" t="str">
        <f t="shared" ref="F25" si="4">HYPERLINK("http://www.bosal-autoflex.ru/instructions1/"&amp;LEFT(B25,4)&amp;MID(B25,6,4)&amp;".pdf","@")</f>
        <v>@</v>
      </c>
      <c r="G25" s="303"/>
      <c r="H25" s="106" t="s">
        <v>92</v>
      </c>
      <c r="I25" s="139" t="s">
        <v>802</v>
      </c>
      <c r="J25" s="129"/>
      <c r="K25" s="332">
        <f>1.02*4750</f>
        <v>4845</v>
      </c>
      <c r="L25" s="212">
        <f t="shared" si="3"/>
        <v>6056.25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s="42" customFormat="1" ht="18" customHeight="1">
      <c r="A26" s="146"/>
      <c r="B26" s="147"/>
      <c r="C26" s="148"/>
      <c r="D26" s="149" t="s">
        <v>360</v>
      </c>
      <c r="E26" s="154"/>
      <c r="F26" s="309"/>
      <c r="G26" s="299"/>
      <c r="H26" s="153"/>
      <c r="I26" s="253"/>
      <c r="J26" s="153"/>
      <c r="K26" s="330"/>
      <c r="L26" s="326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</row>
    <row r="27" spans="1:47" s="4" customFormat="1" ht="18" customHeight="1">
      <c r="A27" s="146"/>
      <c r="B27" s="18" t="s">
        <v>1159</v>
      </c>
      <c r="C27" s="19" t="s">
        <v>96</v>
      </c>
      <c r="D27" s="30" t="s">
        <v>370</v>
      </c>
      <c r="E27" s="108" t="s">
        <v>371</v>
      </c>
      <c r="F27" s="308" t="str">
        <f t="shared" si="2"/>
        <v>@</v>
      </c>
      <c r="G27" s="301"/>
      <c r="H27" s="142" t="s">
        <v>212</v>
      </c>
      <c r="I27" s="141" t="s">
        <v>152</v>
      </c>
      <c r="J27" s="129"/>
      <c r="K27" s="331">
        <f>1.02*1766</f>
        <v>1801.32</v>
      </c>
      <c r="L27" s="212">
        <f t="shared" ref="L27:L32" si="5">K27*1.25</f>
        <v>2251.65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s="4" customFormat="1" ht="18" customHeight="1">
      <c r="A28" s="146"/>
      <c r="B28" s="18" t="s">
        <v>1160</v>
      </c>
      <c r="C28" s="19" t="s">
        <v>143</v>
      </c>
      <c r="D28" s="30" t="s">
        <v>370</v>
      </c>
      <c r="E28" s="108" t="s">
        <v>371</v>
      </c>
      <c r="F28" s="308" t="str">
        <f t="shared" si="2"/>
        <v>@</v>
      </c>
      <c r="H28" s="142" t="s">
        <v>426</v>
      </c>
      <c r="I28" s="141" t="s">
        <v>152</v>
      </c>
      <c r="J28" s="129"/>
      <c r="K28" s="331">
        <f>1.02*1504</f>
        <v>1534.08</v>
      </c>
      <c r="L28" s="212">
        <f t="shared" si="5"/>
        <v>1917.6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s="4" customFormat="1" ht="23.25">
      <c r="A29" s="146"/>
      <c r="B29" s="18" t="s">
        <v>1161</v>
      </c>
      <c r="C29" s="19" t="s">
        <v>96</v>
      </c>
      <c r="D29" s="30" t="s">
        <v>590</v>
      </c>
      <c r="E29" s="108"/>
      <c r="F29" s="308" t="str">
        <f t="shared" si="2"/>
        <v>@</v>
      </c>
      <c r="G29" s="303"/>
      <c r="H29" s="142" t="s">
        <v>542</v>
      </c>
      <c r="I29" s="141" t="s">
        <v>151</v>
      </c>
      <c r="J29" s="129"/>
      <c r="K29" s="331">
        <f>1.02*2369</f>
        <v>2416.38</v>
      </c>
      <c r="L29" s="212">
        <f t="shared" si="5"/>
        <v>3020.4750000000004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s="4" customFormat="1" ht="30">
      <c r="A30" s="146"/>
      <c r="B30" s="19" t="s">
        <v>1162</v>
      </c>
      <c r="C30" s="19" t="s">
        <v>38</v>
      </c>
      <c r="D30" s="277" t="s">
        <v>656</v>
      </c>
      <c r="E30" s="112" t="s">
        <v>1226</v>
      </c>
      <c r="F30" s="308" t="str">
        <f t="shared" si="2"/>
        <v>@</v>
      </c>
      <c r="G30" s="302"/>
      <c r="H30" s="127" t="s">
        <v>218</v>
      </c>
      <c r="I30" s="129" t="s">
        <v>151</v>
      </c>
      <c r="J30" s="129"/>
      <c r="K30" s="329">
        <f>1.02*2443</f>
        <v>2491.86</v>
      </c>
      <c r="L30" s="212">
        <f t="shared" si="5"/>
        <v>3114.8250000000003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s="4" customFormat="1" ht="30">
      <c r="A31" s="146"/>
      <c r="B31" s="206" t="s">
        <v>1163</v>
      </c>
      <c r="C31" s="205" t="s">
        <v>96</v>
      </c>
      <c r="D31" s="209" t="s">
        <v>589</v>
      </c>
      <c r="E31" s="112" t="s">
        <v>1221</v>
      </c>
      <c r="F31" s="308" t="str">
        <f t="shared" si="2"/>
        <v>@</v>
      </c>
      <c r="G31" s="303"/>
      <c r="H31" s="127" t="s">
        <v>542</v>
      </c>
      <c r="I31" s="129" t="s">
        <v>151</v>
      </c>
      <c r="J31" s="129"/>
      <c r="K31" s="329">
        <f>1.02*2372</f>
        <v>2419.44</v>
      </c>
      <c r="L31" s="212">
        <f t="shared" si="5"/>
        <v>3024.3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s="4" customFormat="1" ht="30">
      <c r="A32" s="146"/>
      <c r="B32" s="207" t="s">
        <v>1222</v>
      </c>
      <c r="C32" s="207" t="s">
        <v>103</v>
      </c>
      <c r="D32" s="343" t="s">
        <v>589</v>
      </c>
      <c r="E32" s="112" t="s">
        <v>1221</v>
      </c>
      <c r="F32" s="308" t="str">
        <f t="shared" si="2"/>
        <v>@</v>
      </c>
      <c r="G32" s="304" t="s">
        <v>1213</v>
      </c>
      <c r="H32" s="127"/>
      <c r="I32" s="129"/>
      <c r="J32" s="129"/>
      <c r="K32" s="329">
        <f>1.02*3203</f>
        <v>3267.06</v>
      </c>
      <c r="L32" s="212">
        <f t="shared" si="5"/>
        <v>4083.8249999999998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s="42" customFormat="1" ht="18.75" customHeight="1">
      <c r="A33" s="146"/>
      <c r="B33" s="147"/>
      <c r="C33" s="148"/>
      <c r="D33" s="149" t="s">
        <v>1334</v>
      </c>
      <c r="E33" s="152"/>
      <c r="F33" s="309"/>
      <c r="G33" s="299"/>
      <c r="H33" s="153"/>
      <c r="I33" s="253"/>
      <c r="J33" s="153"/>
      <c r="K33" s="330"/>
      <c r="L33" s="326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</row>
    <row r="34" spans="1:47" s="4" customFormat="1" ht="18.75" customHeight="1">
      <c r="A34" s="146"/>
      <c r="B34" s="295" t="s">
        <v>1165</v>
      </c>
      <c r="C34" s="25" t="s">
        <v>143</v>
      </c>
      <c r="D34" s="876" t="s">
        <v>1335</v>
      </c>
      <c r="E34" s="878" t="s">
        <v>494</v>
      </c>
      <c r="F34" s="308" t="str">
        <f t="shared" si="2"/>
        <v>@</v>
      </c>
      <c r="G34" s="873"/>
      <c r="H34" s="142" t="s">
        <v>384</v>
      </c>
      <c r="I34" s="141" t="s">
        <v>390</v>
      </c>
      <c r="J34" s="129"/>
      <c r="K34" s="331">
        <f>1.02*1964</f>
        <v>2003.28</v>
      </c>
      <c r="L34" s="212">
        <f t="shared" ref="L34:L55" si="6">K34*1.25</f>
        <v>2504.1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s="4" customFormat="1" ht="23.25">
      <c r="A35" s="146"/>
      <c r="B35" s="295" t="s">
        <v>1164</v>
      </c>
      <c r="C35" s="19" t="s">
        <v>96</v>
      </c>
      <c r="D35" s="877"/>
      <c r="E35" s="879"/>
      <c r="F35" s="308" t="str">
        <f t="shared" si="2"/>
        <v>@</v>
      </c>
      <c r="G35" s="874"/>
      <c r="H35" s="142" t="s">
        <v>384</v>
      </c>
      <c r="I35" s="141" t="s">
        <v>390</v>
      </c>
      <c r="J35" s="129"/>
      <c r="K35" s="331">
        <f>1.02*2052</f>
        <v>2093.04</v>
      </c>
      <c r="L35" s="212">
        <f t="shared" si="6"/>
        <v>2616.3000000000002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s="4" customFormat="1" ht="19.5" customHeight="1">
      <c r="A36" s="146"/>
      <c r="B36" s="392" t="s">
        <v>1166</v>
      </c>
      <c r="C36" s="373" t="s">
        <v>96</v>
      </c>
      <c r="D36" s="393" t="s">
        <v>1336</v>
      </c>
      <c r="E36" s="394"/>
      <c r="F36" s="382" t="str">
        <f t="shared" si="2"/>
        <v>@</v>
      </c>
      <c r="G36" s="395"/>
      <c r="H36" s="390" t="s">
        <v>246</v>
      </c>
      <c r="I36" s="385" t="s">
        <v>390</v>
      </c>
      <c r="J36" s="385"/>
      <c r="K36" s="386">
        <v>2200</v>
      </c>
      <c r="L36" s="376">
        <f t="shared" si="6"/>
        <v>2750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s="4" customFormat="1" ht="23.25" customHeight="1">
      <c r="A37" s="146"/>
      <c r="B37" s="377" t="s">
        <v>1168</v>
      </c>
      <c r="C37" s="377" t="s">
        <v>143</v>
      </c>
      <c r="D37" s="860" t="s">
        <v>1337</v>
      </c>
      <c r="E37" s="866" t="s">
        <v>373</v>
      </c>
      <c r="F37" s="382" t="str">
        <f t="shared" si="2"/>
        <v>@</v>
      </c>
      <c r="G37" s="382"/>
      <c r="H37" s="390" t="s">
        <v>386</v>
      </c>
      <c r="I37" s="385" t="s">
        <v>390</v>
      </c>
      <c r="J37" s="385"/>
      <c r="K37" s="386">
        <v>1950</v>
      </c>
      <c r="L37" s="376">
        <f t="shared" si="6"/>
        <v>2437.5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s="4" customFormat="1" ht="27.75" customHeight="1">
      <c r="A38" s="146"/>
      <c r="B38" s="294" t="s">
        <v>1167</v>
      </c>
      <c r="C38" s="19" t="s">
        <v>96</v>
      </c>
      <c r="D38" s="872"/>
      <c r="E38" s="867"/>
      <c r="F38" s="308" t="str">
        <f t="shared" si="2"/>
        <v>@</v>
      </c>
      <c r="G38" s="308"/>
      <c r="H38" s="127" t="s">
        <v>385</v>
      </c>
      <c r="I38" s="141" t="s">
        <v>390</v>
      </c>
      <c r="J38" s="129"/>
      <c r="K38" s="331">
        <f>1.02*2240</f>
        <v>2284.8000000000002</v>
      </c>
      <c r="L38" s="212">
        <f t="shared" si="6"/>
        <v>2856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s="4" customFormat="1" ht="63" customHeight="1">
      <c r="A39" s="146"/>
      <c r="B39" s="377" t="s">
        <v>1267</v>
      </c>
      <c r="C39" s="377" t="s">
        <v>143</v>
      </c>
      <c r="D39" s="396" t="s">
        <v>1330</v>
      </c>
      <c r="E39" s="397" t="s">
        <v>1268</v>
      </c>
      <c r="F39" s="382" t="str">
        <f t="shared" si="2"/>
        <v>@</v>
      </c>
      <c r="G39" s="398"/>
      <c r="H39" s="390" t="s">
        <v>178</v>
      </c>
      <c r="I39" s="385" t="s">
        <v>391</v>
      </c>
      <c r="J39" s="385"/>
      <c r="K39" s="386">
        <v>2380</v>
      </c>
      <c r="L39" s="376">
        <f t="shared" si="6"/>
        <v>2975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s="4" customFormat="1" ht="61.5" customHeight="1">
      <c r="A40" s="146"/>
      <c r="B40" s="377" t="s">
        <v>1220</v>
      </c>
      <c r="C40" s="373" t="s">
        <v>96</v>
      </c>
      <c r="D40" s="396" t="s">
        <v>1331</v>
      </c>
      <c r="E40" s="397" t="s">
        <v>1227</v>
      </c>
      <c r="F40" s="382" t="str">
        <f t="shared" si="2"/>
        <v>@</v>
      </c>
      <c r="G40" s="399" t="s">
        <v>1213</v>
      </c>
      <c r="H40" s="390" t="s">
        <v>178</v>
      </c>
      <c r="I40" s="385" t="s">
        <v>391</v>
      </c>
      <c r="J40" s="385"/>
      <c r="K40" s="386">
        <v>2500</v>
      </c>
      <c r="L40" s="376">
        <f t="shared" si="6"/>
        <v>3125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s="4" customFormat="1" ht="44.25" customHeight="1">
      <c r="A41" s="146"/>
      <c r="B41" s="294" t="s">
        <v>1257</v>
      </c>
      <c r="C41" s="207" t="s">
        <v>96</v>
      </c>
      <c r="D41" s="125" t="s">
        <v>1332</v>
      </c>
      <c r="E41" s="346" t="s">
        <v>648</v>
      </c>
      <c r="F41" s="308" t="str">
        <f t="shared" si="2"/>
        <v>@</v>
      </c>
      <c r="G41" s="348" t="s">
        <v>1231</v>
      </c>
      <c r="H41" s="127"/>
      <c r="I41" s="129"/>
      <c r="J41" s="129"/>
      <c r="K41" s="329">
        <f>1.02*2384</f>
        <v>2431.6799999999998</v>
      </c>
      <c r="L41" s="212">
        <f t="shared" si="6"/>
        <v>3039.6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s="4" customFormat="1" ht="66.75" customHeight="1">
      <c r="A42" s="146"/>
      <c r="B42" s="25" t="s">
        <v>1169</v>
      </c>
      <c r="C42" s="25" t="s">
        <v>143</v>
      </c>
      <c r="D42" s="28" t="s">
        <v>1338</v>
      </c>
      <c r="E42" s="108" t="s">
        <v>374</v>
      </c>
      <c r="F42" s="308" t="str">
        <f t="shared" si="2"/>
        <v>@</v>
      </c>
      <c r="G42" s="305"/>
      <c r="H42" s="127" t="s">
        <v>387</v>
      </c>
      <c r="I42" s="129" t="s">
        <v>391</v>
      </c>
      <c r="J42" s="129"/>
      <c r="K42" s="329">
        <f>1.02*2208</f>
        <v>2252.16</v>
      </c>
      <c r="L42" s="212">
        <f t="shared" si="6"/>
        <v>2815.2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s="4" customFormat="1" ht="45">
      <c r="A43" s="146"/>
      <c r="B43" s="126" t="s">
        <v>1170</v>
      </c>
      <c r="C43" s="19" t="s">
        <v>96</v>
      </c>
      <c r="D43" s="28" t="s">
        <v>1339</v>
      </c>
      <c r="E43" s="77" t="s">
        <v>375</v>
      </c>
      <c r="F43" s="308" t="str">
        <f t="shared" si="2"/>
        <v>@</v>
      </c>
      <c r="G43" s="306"/>
      <c r="H43" s="128" t="s">
        <v>181</v>
      </c>
      <c r="I43" s="129" t="s">
        <v>392</v>
      </c>
      <c r="J43" s="129"/>
      <c r="K43" s="329">
        <f>1.02*2214</f>
        <v>2258.2800000000002</v>
      </c>
      <c r="L43" s="212">
        <f t="shared" si="6"/>
        <v>2822.8500000000004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s="4" customFormat="1" ht="44.25" customHeight="1">
      <c r="A44" s="146"/>
      <c r="B44" s="400" t="s">
        <v>1171</v>
      </c>
      <c r="C44" s="377" t="s">
        <v>143</v>
      </c>
      <c r="D44" s="401" t="s">
        <v>1340</v>
      </c>
      <c r="E44" s="378" t="s">
        <v>376</v>
      </c>
      <c r="F44" s="382" t="str">
        <f t="shared" si="2"/>
        <v>@</v>
      </c>
      <c r="G44" s="402"/>
      <c r="H44" s="403" t="s">
        <v>190</v>
      </c>
      <c r="I44" s="385" t="s">
        <v>392</v>
      </c>
      <c r="J44" s="385"/>
      <c r="K44" s="386">
        <v>1880</v>
      </c>
      <c r="L44" s="376">
        <f t="shared" si="6"/>
        <v>2350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s="4" customFormat="1" ht="81.75" customHeight="1">
      <c r="A45" s="146"/>
      <c r="B45" s="19" t="s">
        <v>1172</v>
      </c>
      <c r="C45" s="19" t="s">
        <v>96</v>
      </c>
      <c r="D45" s="201" t="s">
        <v>668</v>
      </c>
      <c r="E45" s="90" t="s">
        <v>669</v>
      </c>
      <c r="F45" s="308" t="str">
        <f t="shared" si="2"/>
        <v>@</v>
      </c>
      <c r="G45" s="305"/>
      <c r="H45" s="127" t="s">
        <v>181</v>
      </c>
      <c r="I45" s="129" t="s">
        <v>149</v>
      </c>
      <c r="J45" s="129"/>
      <c r="K45" s="329">
        <f>1.02*1908</f>
        <v>1946.16</v>
      </c>
      <c r="L45" s="212">
        <f t="shared" si="6"/>
        <v>2432.7000000000003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s="4" customFormat="1" ht="80.25" customHeight="1">
      <c r="A46" s="146"/>
      <c r="B46" s="207" t="s">
        <v>1173</v>
      </c>
      <c r="C46" s="207" t="s">
        <v>103</v>
      </c>
      <c r="D46" s="285" t="s">
        <v>1342</v>
      </c>
      <c r="E46" s="77" t="s">
        <v>1269</v>
      </c>
      <c r="F46" s="308" t="str">
        <f t="shared" si="2"/>
        <v>@</v>
      </c>
      <c r="G46" s="352"/>
      <c r="H46" s="127" t="s">
        <v>183</v>
      </c>
      <c r="I46" s="129" t="s">
        <v>800</v>
      </c>
      <c r="J46" s="129"/>
      <c r="K46" s="329">
        <f>1.02*3100</f>
        <v>3162</v>
      </c>
      <c r="L46" s="212">
        <f t="shared" si="6"/>
        <v>3952.5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s="4" customFormat="1" ht="21.75" customHeight="1">
      <c r="A47" s="146"/>
      <c r="B47" s="207" t="s">
        <v>1212</v>
      </c>
      <c r="C47" s="207" t="s">
        <v>96</v>
      </c>
      <c r="D47" s="340" t="s">
        <v>1341</v>
      </c>
      <c r="E47" s="339" t="s">
        <v>1411</v>
      </c>
      <c r="F47" s="308" t="str">
        <f t="shared" si="2"/>
        <v>@</v>
      </c>
      <c r="G47" s="341" t="s">
        <v>1213</v>
      </c>
      <c r="H47" s="127"/>
      <c r="I47" s="129"/>
      <c r="J47" s="129"/>
      <c r="K47" s="329">
        <f>1.02*1885</f>
        <v>1922.7</v>
      </c>
      <c r="L47" s="212">
        <f t="shared" si="6"/>
        <v>2403.375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s="4" customFormat="1" ht="18" customHeight="1">
      <c r="A48" s="146"/>
      <c r="B48" s="207" t="s">
        <v>1175</v>
      </c>
      <c r="C48" s="25" t="s">
        <v>143</v>
      </c>
      <c r="D48" s="860" t="s">
        <v>571</v>
      </c>
      <c r="E48" s="866" t="s">
        <v>99</v>
      </c>
      <c r="F48" s="308" t="str">
        <f t="shared" si="2"/>
        <v>@</v>
      </c>
      <c r="G48" s="862"/>
      <c r="H48" s="128" t="s">
        <v>388</v>
      </c>
      <c r="I48" s="129" t="s">
        <v>393</v>
      </c>
      <c r="J48" s="129"/>
      <c r="K48" s="329">
        <f>1.02*1824</f>
        <v>1860.48</v>
      </c>
      <c r="L48" s="212">
        <f t="shared" si="6"/>
        <v>2325.6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s="4" customFormat="1" ht="18" customHeight="1">
      <c r="A49" s="146"/>
      <c r="B49" s="207" t="s">
        <v>1174</v>
      </c>
      <c r="C49" s="19" t="s">
        <v>96</v>
      </c>
      <c r="D49" s="861"/>
      <c r="E49" s="867"/>
      <c r="F49" s="308" t="str">
        <f t="shared" si="2"/>
        <v>@</v>
      </c>
      <c r="G49" s="863"/>
      <c r="H49" s="128" t="s">
        <v>181</v>
      </c>
      <c r="I49" s="129" t="s">
        <v>149</v>
      </c>
      <c r="J49" s="129"/>
      <c r="K49" s="329">
        <v>2024</v>
      </c>
      <c r="L49" s="212">
        <f t="shared" si="6"/>
        <v>2530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s="4" customFormat="1" ht="38.25" customHeight="1">
      <c r="A50" s="146"/>
      <c r="B50" s="207" t="s">
        <v>1176</v>
      </c>
      <c r="C50" s="25" t="s">
        <v>143</v>
      </c>
      <c r="D50" s="858" t="s">
        <v>45</v>
      </c>
      <c r="E50" s="868" t="s">
        <v>1237</v>
      </c>
      <c r="F50" s="308" t="str">
        <f t="shared" si="2"/>
        <v>@</v>
      </c>
      <c r="G50" s="864"/>
      <c r="H50" s="128" t="s">
        <v>389</v>
      </c>
      <c r="I50" s="129" t="s">
        <v>391</v>
      </c>
      <c r="J50" s="129"/>
      <c r="K50" s="329">
        <f>1.02*1969</f>
        <v>2008.38</v>
      </c>
      <c r="L50" s="212">
        <f t="shared" si="6"/>
        <v>2510.4750000000004</v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s="4" customFormat="1" ht="42" customHeight="1">
      <c r="A51" s="146"/>
      <c r="B51" s="207" t="s">
        <v>1177</v>
      </c>
      <c r="C51" s="19" t="s">
        <v>96</v>
      </c>
      <c r="D51" s="859"/>
      <c r="E51" s="869"/>
      <c r="F51" s="308" t="str">
        <f t="shared" si="2"/>
        <v>@</v>
      </c>
      <c r="G51" s="865"/>
      <c r="H51" s="128" t="s">
        <v>389</v>
      </c>
      <c r="I51" s="129" t="s">
        <v>391</v>
      </c>
      <c r="J51" s="129"/>
      <c r="K51" s="329">
        <f>1.02*2075</f>
        <v>2116.5</v>
      </c>
      <c r="L51" s="212">
        <f t="shared" si="6"/>
        <v>2645.625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s="4" customFormat="1" ht="24" customHeight="1">
      <c r="A52" s="146"/>
      <c r="B52" s="208" t="s">
        <v>1178</v>
      </c>
      <c r="C52" s="207" t="s">
        <v>96</v>
      </c>
      <c r="D52" s="210" t="s">
        <v>1343</v>
      </c>
      <c r="E52" s="79" t="s">
        <v>549</v>
      </c>
      <c r="F52" s="308" t="str">
        <f t="shared" si="2"/>
        <v>@</v>
      </c>
      <c r="G52" s="303"/>
      <c r="H52" s="127" t="s">
        <v>389</v>
      </c>
      <c r="I52" s="129" t="s">
        <v>155</v>
      </c>
      <c r="J52" s="129"/>
      <c r="K52" s="329">
        <f>1.02*2090</f>
        <v>2131.8000000000002</v>
      </c>
      <c r="L52" s="212">
        <f t="shared" si="6"/>
        <v>2664.75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s="4" customFormat="1" ht="36" customHeight="1">
      <c r="A53" s="146"/>
      <c r="B53" s="80" t="s">
        <v>1219</v>
      </c>
      <c r="C53" s="80" t="s">
        <v>96</v>
      </c>
      <c r="D53" s="78" t="s">
        <v>1344</v>
      </c>
      <c r="E53" s="79" t="s">
        <v>437</v>
      </c>
      <c r="F53" s="308" t="str">
        <f t="shared" si="2"/>
        <v>@</v>
      </c>
      <c r="G53" s="307"/>
      <c r="H53" s="106" t="s">
        <v>184</v>
      </c>
      <c r="I53" s="105" t="s">
        <v>153</v>
      </c>
      <c r="J53" s="129"/>
      <c r="K53" s="332">
        <f>1.02*3152</f>
        <v>3215.04</v>
      </c>
      <c r="L53" s="212">
        <f t="shared" si="6"/>
        <v>4018.8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s="4" customFormat="1" ht="36" customHeight="1">
      <c r="A54" s="146"/>
      <c r="B54" s="80" t="s">
        <v>1333</v>
      </c>
      <c r="C54" s="80" t="s">
        <v>96</v>
      </c>
      <c r="D54" s="78" t="s">
        <v>1345</v>
      </c>
      <c r="E54" s="79" t="s">
        <v>1229</v>
      </c>
      <c r="F54" s="308" t="str">
        <f t="shared" si="2"/>
        <v>@</v>
      </c>
      <c r="G54" s="363" t="s">
        <v>1346</v>
      </c>
      <c r="H54" s="106" t="s">
        <v>667</v>
      </c>
      <c r="I54" s="105" t="s">
        <v>1362</v>
      </c>
      <c r="J54" s="195" t="s">
        <v>481</v>
      </c>
      <c r="K54" s="332">
        <f>1.02*2500</f>
        <v>2550</v>
      </c>
      <c r="L54" s="212">
        <f t="shared" si="6"/>
        <v>3187.5</v>
      </c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s="4" customFormat="1" ht="36" customHeight="1">
      <c r="A55" s="146"/>
      <c r="B55" s="80" t="s">
        <v>1358</v>
      </c>
      <c r="C55" s="80" t="s">
        <v>96</v>
      </c>
      <c r="D55" s="364" t="s">
        <v>1359</v>
      </c>
      <c r="E55" s="79" t="s">
        <v>1360</v>
      </c>
      <c r="F55" s="308" t="str">
        <f t="shared" si="2"/>
        <v>@</v>
      </c>
      <c r="G55" s="363" t="s">
        <v>1346</v>
      </c>
      <c r="H55" s="106" t="s">
        <v>1361</v>
      </c>
      <c r="I55" s="105" t="s">
        <v>1363</v>
      </c>
      <c r="J55" s="195" t="s">
        <v>481</v>
      </c>
      <c r="K55" s="332">
        <v>2990</v>
      </c>
      <c r="L55" s="212">
        <f t="shared" si="6"/>
        <v>3737.5</v>
      </c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s="4" customFormat="1" ht="18" customHeight="1">
      <c r="A56" s="146"/>
      <c r="B56" s="147"/>
      <c r="C56" s="148"/>
      <c r="D56" s="155" t="s">
        <v>131</v>
      </c>
      <c r="E56" s="156"/>
      <c r="F56" s="156"/>
      <c r="G56" s="151"/>
      <c r="H56" s="153"/>
      <c r="I56" s="253"/>
      <c r="J56" s="153"/>
      <c r="K56" s="330"/>
      <c r="L56" s="328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s="4" customFormat="1" ht="30" customHeight="1">
      <c r="A57" s="146"/>
      <c r="B57" s="207" t="s">
        <v>94</v>
      </c>
      <c r="C57" s="31"/>
      <c r="D57" s="28" t="s">
        <v>94</v>
      </c>
      <c r="E57" s="90"/>
      <c r="F57" s="297"/>
      <c r="G57" s="81"/>
      <c r="H57" s="127"/>
      <c r="I57" s="129"/>
      <c r="J57" s="129"/>
      <c r="K57" s="329">
        <v>141</v>
      </c>
      <c r="L57" s="212">
        <f t="shared" ref="L57" si="7">K57*1.25</f>
        <v>176.25</v>
      </c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s="4" customFormat="1">
      <c r="A58" s="146"/>
      <c r="B58" s="147"/>
      <c r="C58" s="148"/>
      <c r="D58" s="149" t="s">
        <v>361</v>
      </c>
      <c r="E58" s="156"/>
      <c r="F58" s="156"/>
      <c r="G58" s="151"/>
      <c r="H58" s="157"/>
      <c r="I58" s="253"/>
      <c r="J58" s="153"/>
      <c r="K58" s="330"/>
      <c r="L58" s="328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s="4" customFormat="1" ht="40.5" customHeight="1">
      <c r="A59" s="146"/>
      <c r="B59" s="207" t="s">
        <v>1324</v>
      </c>
      <c r="C59" s="83"/>
      <c r="D59" s="276" t="s">
        <v>93</v>
      </c>
      <c r="E59" s="112"/>
      <c r="F59" s="298"/>
      <c r="G59" s="82"/>
      <c r="H59" s="140"/>
      <c r="I59" s="139"/>
      <c r="J59" s="129"/>
      <c r="K59" s="361">
        <v>996</v>
      </c>
      <c r="L59" s="259">
        <v>1250</v>
      </c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s="35" customFormat="1" ht="31.5" customHeight="1">
      <c r="A60" s="57"/>
      <c r="B60" s="73"/>
      <c r="C60" s="70"/>
      <c r="D60" s="69"/>
      <c r="E60" s="115"/>
      <c r="F60" s="115"/>
      <c r="G60" s="71"/>
      <c r="H60" s="71"/>
      <c r="I60" s="71"/>
      <c r="J60" s="71"/>
      <c r="K60" s="71"/>
      <c r="L60" s="213"/>
    </row>
    <row r="61" spans="1:47" s="14" customFormat="1">
      <c r="A61" s="21"/>
      <c r="B61" s="72"/>
      <c r="C61" s="38"/>
      <c r="D61" s="37"/>
      <c r="E61" s="175"/>
      <c r="F61" s="175"/>
      <c r="G61" s="178"/>
      <c r="H61" s="33"/>
      <c r="I61" s="33"/>
      <c r="J61" s="33"/>
      <c r="K61" s="33"/>
      <c r="L61" s="211"/>
    </row>
    <row r="62" spans="1:47" s="14" customFormat="1">
      <c r="A62" s="21"/>
      <c r="B62" s="36"/>
      <c r="C62" s="38"/>
      <c r="D62" s="37"/>
      <c r="E62" s="175"/>
      <c r="F62" s="175"/>
      <c r="G62" s="178"/>
      <c r="H62" s="33"/>
      <c r="I62" s="33"/>
      <c r="J62" s="33"/>
      <c r="K62" s="33"/>
      <c r="L62" s="211"/>
    </row>
    <row r="63" spans="1:47" s="14" customFormat="1">
      <c r="A63" s="21"/>
      <c r="B63" s="36"/>
      <c r="C63" s="38"/>
      <c r="D63" s="37"/>
      <c r="E63" s="179"/>
      <c r="F63" s="179"/>
      <c r="G63" s="178"/>
      <c r="H63" s="33"/>
      <c r="I63" s="33"/>
      <c r="J63" s="33"/>
      <c r="K63" s="33"/>
      <c r="L63" s="211"/>
    </row>
    <row r="64" spans="1:47" s="14" customFormat="1">
      <c r="A64" s="21"/>
      <c r="B64" s="36"/>
      <c r="C64" s="38"/>
      <c r="D64" s="37"/>
      <c r="E64" s="175"/>
      <c r="F64" s="175"/>
      <c r="G64" s="178"/>
      <c r="H64" s="33"/>
      <c r="I64" s="33"/>
      <c r="J64" s="33"/>
      <c r="K64" s="33"/>
      <c r="L64" s="211"/>
    </row>
    <row r="65" spans="1:51" s="14" customFormat="1">
      <c r="A65" s="21"/>
      <c r="B65" s="36"/>
      <c r="C65" s="38"/>
      <c r="D65" s="37"/>
      <c r="E65" s="175"/>
      <c r="F65" s="175"/>
      <c r="G65" s="178"/>
      <c r="H65" s="33"/>
      <c r="I65" s="33"/>
      <c r="J65" s="33"/>
      <c r="K65" s="33"/>
      <c r="L65" s="213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14" customFormat="1">
      <c r="A66" s="21"/>
      <c r="B66" s="36"/>
      <c r="C66" s="38"/>
      <c r="D66" s="37"/>
      <c r="E66" s="175"/>
      <c r="F66" s="175"/>
      <c r="G66" s="178"/>
      <c r="H66" s="33"/>
      <c r="I66" s="33"/>
      <c r="J66" s="33"/>
      <c r="K66" s="33"/>
      <c r="L66" s="213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</row>
    <row r="67" spans="1:51">
      <c r="B67" s="36"/>
      <c r="C67" s="38"/>
      <c r="D67" s="37"/>
      <c r="E67" s="175"/>
      <c r="F67" s="175"/>
      <c r="G67" s="178"/>
      <c r="H67" s="33"/>
      <c r="I67" s="33"/>
      <c r="J67" s="33"/>
      <c r="K67" s="33"/>
      <c r="L67" s="213"/>
    </row>
    <row r="68" spans="1:51">
      <c r="B68" s="36"/>
      <c r="C68" s="38"/>
      <c r="D68" s="37"/>
      <c r="E68" s="175"/>
      <c r="F68" s="175"/>
      <c r="G68" s="178"/>
      <c r="H68" s="33"/>
      <c r="I68" s="33"/>
      <c r="J68" s="33"/>
      <c r="K68" s="33"/>
      <c r="L68" s="213"/>
    </row>
    <row r="69" spans="1:51">
      <c r="B69" s="36"/>
      <c r="C69" s="38"/>
      <c r="D69" s="37"/>
      <c r="E69" s="175"/>
      <c r="F69" s="175"/>
      <c r="G69" s="178"/>
      <c r="H69" s="33"/>
      <c r="I69" s="33"/>
      <c r="J69" s="33"/>
      <c r="K69" s="33"/>
      <c r="L69" s="213"/>
    </row>
    <row r="70" spans="1:51">
      <c r="B70" s="36"/>
      <c r="C70" s="38"/>
      <c r="D70" s="37"/>
      <c r="E70" s="175"/>
      <c r="F70" s="175"/>
      <c r="G70" s="178"/>
      <c r="H70" s="33"/>
      <c r="I70" s="33"/>
      <c r="J70" s="33"/>
      <c r="K70" s="33"/>
      <c r="L70" s="213"/>
    </row>
    <row r="71" spans="1:51">
      <c r="B71" s="36"/>
      <c r="C71" s="38"/>
      <c r="D71" s="37"/>
      <c r="E71" s="175"/>
      <c r="F71" s="175"/>
      <c r="G71" s="178"/>
      <c r="H71" s="33"/>
      <c r="I71" s="33"/>
      <c r="J71" s="33"/>
      <c r="K71" s="33"/>
      <c r="L71" s="213"/>
    </row>
    <row r="72" spans="1:51">
      <c r="B72" s="36"/>
      <c r="C72" s="38"/>
      <c r="D72" s="37"/>
      <c r="E72" s="175"/>
      <c r="F72" s="175"/>
      <c r="G72" s="178"/>
      <c r="H72" s="33"/>
      <c r="I72" s="33"/>
      <c r="J72" s="33"/>
      <c r="K72" s="33"/>
      <c r="L72" s="213"/>
    </row>
    <row r="73" spans="1:51">
      <c r="B73" s="36"/>
      <c r="C73" s="38"/>
      <c r="D73" s="37"/>
      <c r="E73" s="175"/>
      <c r="F73" s="175"/>
      <c r="G73" s="178"/>
      <c r="H73" s="33"/>
      <c r="I73" s="33"/>
      <c r="J73" s="33"/>
      <c r="K73" s="33"/>
      <c r="L73" s="213"/>
    </row>
    <row r="74" spans="1:51">
      <c r="B74" s="36"/>
      <c r="C74" s="38"/>
      <c r="D74" s="37"/>
      <c r="E74" s="175"/>
      <c r="F74" s="175"/>
      <c r="G74" s="178"/>
      <c r="H74" s="33"/>
      <c r="I74" s="33"/>
      <c r="J74" s="33"/>
      <c r="K74" s="33"/>
      <c r="L74" s="213"/>
    </row>
    <row r="75" spans="1:51">
      <c r="B75" s="36"/>
      <c r="C75" s="38"/>
      <c r="D75" s="37"/>
      <c r="E75" s="175"/>
      <c r="F75" s="175"/>
      <c r="G75" s="178"/>
      <c r="H75" s="33"/>
      <c r="I75" s="33"/>
      <c r="J75" s="33"/>
      <c r="K75" s="33"/>
      <c r="L75" s="213"/>
    </row>
    <row r="76" spans="1:51">
      <c r="B76" s="36"/>
      <c r="C76" s="38"/>
      <c r="D76" s="37"/>
      <c r="E76" s="175"/>
      <c r="F76" s="175"/>
      <c r="G76" s="178"/>
      <c r="H76" s="33"/>
      <c r="I76" s="33"/>
      <c r="J76" s="33"/>
      <c r="K76" s="33"/>
      <c r="L76" s="213"/>
    </row>
    <row r="77" spans="1:51">
      <c r="B77" s="36"/>
      <c r="C77" s="38"/>
      <c r="D77" s="37"/>
      <c r="E77" s="175"/>
      <c r="F77" s="175"/>
      <c r="G77" s="178"/>
      <c r="H77" s="33"/>
      <c r="I77" s="33"/>
      <c r="J77" s="33"/>
      <c r="K77" s="33"/>
      <c r="L77" s="213"/>
    </row>
    <row r="78" spans="1:51">
      <c r="B78" s="36"/>
      <c r="C78" s="38"/>
      <c r="D78" s="37"/>
      <c r="E78" s="175"/>
      <c r="F78" s="175"/>
      <c r="G78" s="178"/>
      <c r="H78" s="33"/>
      <c r="I78" s="33"/>
      <c r="J78" s="33"/>
      <c r="K78" s="33"/>
      <c r="L78" s="211"/>
    </row>
    <row r="79" spans="1:51">
      <c r="B79" s="36"/>
      <c r="C79" s="38"/>
      <c r="D79" s="37"/>
      <c r="E79" s="179"/>
      <c r="F79" s="179"/>
      <c r="G79" s="178"/>
      <c r="H79" s="33"/>
      <c r="I79" s="33"/>
      <c r="J79" s="33"/>
      <c r="K79" s="33"/>
      <c r="L79" s="211"/>
    </row>
    <row r="80" spans="1:51">
      <c r="B80" s="36"/>
      <c r="C80" s="38"/>
      <c r="D80" s="37"/>
      <c r="E80" s="175"/>
      <c r="F80" s="175"/>
      <c r="G80" s="178"/>
      <c r="H80" s="33"/>
      <c r="I80" s="33"/>
      <c r="J80" s="33"/>
      <c r="K80" s="33"/>
      <c r="L80" s="211"/>
    </row>
    <row r="81" spans="1:47">
      <c r="B81" s="36"/>
      <c r="C81" s="38"/>
      <c r="D81" s="37"/>
      <c r="E81" s="114"/>
      <c r="F81" s="114"/>
      <c r="G81" s="33"/>
      <c r="H81" s="33"/>
      <c r="I81" s="33"/>
      <c r="J81" s="33"/>
      <c r="K81" s="33"/>
      <c r="L81" s="211"/>
    </row>
    <row r="82" spans="1:47">
      <c r="B82" s="36"/>
      <c r="C82" s="38"/>
      <c r="D82" s="37"/>
      <c r="E82" s="114"/>
      <c r="F82" s="114"/>
      <c r="G82" s="33"/>
      <c r="H82" s="33"/>
      <c r="I82" s="33"/>
      <c r="J82" s="33"/>
      <c r="K82" s="33"/>
      <c r="L82" s="211"/>
    </row>
    <row r="83" spans="1:47">
      <c r="B83" s="36"/>
      <c r="C83" s="38"/>
      <c r="D83" s="37"/>
      <c r="E83" s="114"/>
      <c r="F83" s="114"/>
      <c r="G83" s="33"/>
      <c r="H83" s="33"/>
      <c r="I83" s="33"/>
      <c r="J83" s="33"/>
      <c r="K83" s="33"/>
      <c r="L83" s="211"/>
    </row>
    <row r="84" spans="1:47">
      <c r="B84" s="36"/>
      <c r="C84" s="38"/>
      <c r="D84" s="37"/>
      <c r="E84" s="114"/>
      <c r="F84" s="114"/>
      <c r="G84" s="33"/>
      <c r="H84" s="33"/>
      <c r="I84" s="33"/>
      <c r="J84" s="33"/>
      <c r="K84" s="33"/>
      <c r="L84" s="211"/>
    </row>
    <row r="85" spans="1:47">
      <c r="B85" s="36"/>
      <c r="C85" s="38"/>
      <c r="D85" s="37"/>
      <c r="E85" s="115"/>
      <c r="F85" s="115"/>
      <c r="G85" s="33"/>
      <c r="H85" s="33"/>
      <c r="I85" s="33"/>
      <c r="J85" s="33"/>
      <c r="K85" s="33"/>
      <c r="L85" s="211"/>
    </row>
    <row r="86" spans="1:47">
      <c r="B86" s="36"/>
      <c r="C86" s="38"/>
      <c r="D86" s="37"/>
      <c r="E86" s="116"/>
      <c r="F86" s="116"/>
      <c r="G86" s="33"/>
      <c r="H86" s="33"/>
      <c r="I86" s="33"/>
      <c r="J86" s="33"/>
      <c r="K86" s="33"/>
      <c r="L86" s="211"/>
    </row>
    <row r="87" spans="1:47">
      <c r="B87" s="36"/>
      <c r="C87" s="38"/>
      <c r="D87" s="37"/>
      <c r="E87" s="115"/>
      <c r="F87" s="115"/>
      <c r="G87" s="33"/>
      <c r="H87" s="33"/>
      <c r="I87" s="33"/>
      <c r="J87" s="33"/>
      <c r="K87" s="33"/>
      <c r="L87" s="211"/>
    </row>
    <row r="88" spans="1:47" s="14" customFormat="1">
      <c r="A88" s="21"/>
      <c r="B88" s="36"/>
      <c r="C88" s="38"/>
      <c r="D88" s="37"/>
      <c r="E88" s="115"/>
      <c r="F88" s="115"/>
      <c r="G88" s="33"/>
      <c r="H88" s="33"/>
      <c r="I88" s="33"/>
      <c r="J88" s="33"/>
      <c r="K88" s="33"/>
      <c r="L88" s="211"/>
    </row>
    <row r="89" spans="1:47" s="14" customFormat="1">
      <c r="A89" s="21"/>
      <c r="B89" s="36"/>
      <c r="C89" s="38"/>
      <c r="D89" s="37"/>
      <c r="E89" s="115"/>
      <c r="F89" s="115"/>
      <c r="G89" s="33"/>
      <c r="H89" s="33"/>
      <c r="I89" s="33"/>
      <c r="J89" s="33"/>
      <c r="K89" s="33"/>
      <c r="L89" s="211"/>
      <c r="AU89" s="39"/>
    </row>
    <row r="90" spans="1:47">
      <c r="B90" s="36"/>
      <c r="C90" s="38"/>
      <c r="D90" s="37"/>
      <c r="E90" s="115"/>
      <c r="F90" s="115"/>
      <c r="G90" s="33"/>
      <c r="H90" s="33"/>
      <c r="I90" s="33"/>
      <c r="J90" s="33"/>
      <c r="K90" s="33"/>
      <c r="L90" s="211"/>
    </row>
    <row r="91" spans="1:47">
      <c r="B91" s="36"/>
      <c r="C91" s="38"/>
      <c r="D91" s="37"/>
      <c r="E91" s="115"/>
      <c r="F91" s="115"/>
      <c r="G91" s="33"/>
      <c r="H91" s="33"/>
      <c r="I91" s="33"/>
      <c r="J91" s="33"/>
      <c r="K91" s="33"/>
      <c r="L91" s="211"/>
    </row>
    <row r="92" spans="1:47">
      <c r="B92" s="36"/>
      <c r="C92" s="38"/>
      <c r="D92" s="37"/>
      <c r="E92" s="115"/>
      <c r="F92" s="115"/>
      <c r="G92" s="33"/>
      <c r="H92" s="33"/>
      <c r="I92" s="33"/>
      <c r="J92" s="33"/>
      <c r="K92" s="33"/>
      <c r="L92" s="211"/>
    </row>
    <row r="93" spans="1:47">
      <c r="B93" s="36"/>
      <c r="C93" s="38"/>
      <c r="D93" s="37"/>
      <c r="E93" s="115"/>
      <c r="F93" s="115"/>
      <c r="G93" s="33"/>
      <c r="H93" s="33"/>
      <c r="I93" s="33"/>
      <c r="J93" s="33"/>
      <c r="K93" s="33"/>
      <c r="L93" s="211"/>
    </row>
    <row r="94" spans="1:47">
      <c r="B94" s="36"/>
      <c r="C94" s="38"/>
      <c r="D94" s="37"/>
      <c r="E94" s="115"/>
      <c r="F94" s="115"/>
      <c r="G94" s="33"/>
      <c r="H94" s="33"/>
      <c r="I94" s="33"/>
      <c r="J94" s="33"/>
      <c r="K94" s="33"/>
      <c r="L94" s="211"/>
    </row>
    <row r="95" spans="1:47">
      <c r="B95" s="36"/>
      <c r="C95" s="38"/>
      <c r="D95" s="37"/>
      <c r="E95" s="115"/>
      <c r="F95" s="115"/>
      <c r="G95" s="33"/>
      <c r="H95" s="33"/>
      <c r="I95" s="33"/>
      <c r="J95" s="33"/>
      <c r="K95" s="33"/>
      <c r="L95" s="211"/>
    </row>
    <row r="96" spans="1:47">
      <c r="B96" s="36"/>
      <c r="C96" s="38"/>
      <c r="D96" s="37"/>
      <c r="E96" s="115"/>
      <c r="F96" s="115"/>
      <c r="G96" s="33"/>
      <c r="H96" s="33"/>
      <c r="I96" s="33"/>
      <c r="J96" s="33"/>
      <c r="K96" s="33"/>
      <c r="L96" s="211"/>
    </row>
    <row r="97" spans="2:12">
      <c r="B97" s="36"/>
      <c r="C97" s="38"/>
      <c r="D97" s="37"/>
      <c r="E97" s="115"/>
      <c r="F97" s="115"/>
      <c r="G97" s="33"/>
      <c r="H97" s="33"/>
      <c r="I97" s="33"/>
      <c r="J97" s="33"/>
      <c r="K97" s="33"/>
      <c r="L97" s="211"/>
    </row>
    <row r="98" spans="2:12">
      <c r="B98" s="36"/>
      <c r="C98" s="38"/>
      <c r="D98" s="37"/>
      <c r="E98" s="115"/>
      <c r="F98" s="115"/>
      <c r="G98" s="33"/>
      <c r="H98" s="33"/>
      <c r="I98" s="33"/>
      <c r="J98" s="33"/>
      <c r="K98" s="33"/>
      <c r="L98" s="211"/>
    </row>
    <row r="99" spans="2:12">
      <c r="B99" s="36"/>
      <c r="C99" s="38"/>
      <c r="D99" s="37"/>
      <c r="E99" s="115"/>
      <c r="F99" s="115"/>
      <c r="G99" s="33"/>
      <c r="H99" s="33"/>
      <c r="I99" s="33"/>
      <c r="J99" s="33"/>
      <c r="K99" s="33"/>
      <c r="L99" s="211"/>
    </row>
    <row r="100" spans="2:12">
      <c r="B100" s="36"/>
      <c r="C100" s="38"/>
      <c r="D100" s="37"/>
      <c r="E100" s="115"/>
      <c r="F100" s="115"/>
      <c r="G100" s="33"/>
      <c r="H100" s="33"/>
      <c r="I100" s="33"/>
      <c r="J100" s="33"/>
      <c r="K100" s="33"/>
      <c r="L100" s="211"/>
    </row>
    <row r="101" spans="2:12">
      <c r="B101" s="36"/>
      <c r="C101" s="38"/>
      <c r="D101" s="37"/>
      <c r="E101" s="115"/>
      <c r="F101" s="115"/>
      <c r="G101" s="33"/>
      <c r="H101" s="33"/>
      <c r="I101" s="33"/>
      <c r="J101" s="33"/>
      <c r="K101" s="33"/>
      <c r="L101" s="211"/>
    </row>
    <row r="102" spans="2:12">
      <c r="B102" s="36"/>
      <c r="C102" s="38"/>
      <c r="D102" s="37"/>
      <c r="E102" s="115"/>
      <c r="F102" s="115"/>
      <c r="G102" s="33"/>
      <c r="H102" s="33"/>
      <c r="I102" s="33"/>
      <c r="J102" s="33"/>
      <c r="K102" s="33"/>
      <c r="L102" s="211"/>
    </row>
    <row r="103" spans="2:12">
      <c r="B103" s="36"/>
      <c r="C103" s="38"/>
      <c r="D103" s="37"/>
      <c r="E103" s="116"/>
      <c r="F103" s="116"/>
      <c r="G103" s="33"/>
      <c r="H103" s="33"/>
      <c r="I103" s="33"/>
      <c r="J103" s="33"/>
      <c r="K103" s="33"/>
      <c r="L103" s="211"/>
    </row>
    <row r="104" spans="2:12">
      <c r="B104" s="36"/>
      <c r="C104" s="38"/>
      <c r="D104" s="37"/>
      <c r="E104" s="115"/>
      <c r="F104" s="115"/>
      <c r="G104" s="33"/>
      <c r="H104" s="33"/>
      <c r="I104" s="33"/>
      <c r="J104" s="33"/>
      <c r="K104" s="33"/>
      <c r="L104" s="211"/>
    </row>
    <row r="105" spans="2:12">
      <c r="B105" s="36"/>
      <c r="C105" s="38"/>
      <c r="D105" s="37"/>
      <c r="E105" s="115"/>
      <c r="F105" s="115"/>
      <c r="G105" s="33"/>
      <c r="H105" s="33"/>
      <c r="I105" s="33"/>
      <c r="J105" s="33"/>
      <c r="K105" s="33"/>
      <c r="L105" s="211"/>
    </row>
    <row r="106" spans="2:12">
      <c r="B106" s="36"/>
      <c r="C106" s="38"/>
      <c r="D106" s="37"/>
      <c r="E106" s="115"/>
      <c r="F106" s="115"/>
      <c r="G106" s="33"/>
      <c r="H106" s="33"/>
      <c r="I106" s="33"/>
      <c r="J106" s="33"/>
      <c r="K106" s="33"/>
      <c r="L106" s="211"/>
    </row>
    <row r="107" spans="2:12">
      <c r="B107" s="36"/>
      <c r="C107" s="38"/>
      <c r="D107" s="37"/>
      <c r="E107" s="116"/>
      <c r="F107" s="116"/>
      <c r="G107" s="33"/>
      <c r="H107" s="33"/>
      <c r="I107" s="33"/>
      <c r="J107" s="33"/>
      <c r="K107" s="33"/>
      <c r="L107" s="211"/>
    </row>
    <row r="108" spans="2:12">
      <c r="B108" s="36"/>
      <c r="C108" s="38"/>
      <c r="D108" s="37"/>
      <c r="E108" s="115"/>
      <c r="F108" s="115"/>
      <c r="G108" s="33"/>
      <c r="H108" s="33"/>
      <c r="I108" s="33"/>
      <c r="J108" s="33"/>
      <c r="K108" s="33"/>
      <c r="L108" s="211"/>
    </row>
    <row r="109" spans="2:12">
      <c r="B109" s="36"/>
      <c r="C109" s="38"/>
      <c r="D109" s="37"/>
      <c r="E109" s="115"/>
      <c r="F109" s="115"/>
      <c r="G109" s="33"/>
      <c r="H109" s="33"/>
      <c r="I109" s="33"/>
      <c r="J109" s="33"/>
      <c r="K109" s="33"/>
      <c r="L109" s="211"/>
    </row>
    <row r="110" spans="2:12">
      <c r="B110" s="36"/>
      <c r="C110" s="38"/>
      <c r="D110" s="37"/>
      <c r="E110" s="115"/>
      <c r="F110" s="115"/>
      <c r="G110" s="33"/>
      <c r="H110" s="33"/>
      <c r="I110" s="33"/>
      <c r="J110" s="33"/>
      <c r="K110" s="33"/>
      <c r="L110" s="211"/>
    </row>
    <row r="111" spans="2:12">
      <c r="B111" s="36"/>
      <c r="C111" s="38"/>
      <c r="D111" s="37"/>
      <c r="E111" s="115"/>
      <c r="F111" s="115"/>
      <c r="G111" s="33"/>
      <c r="H111" s="33"/>
      <c r="I111" s="33"/>
      <c r="J111" s="33"/>
      <c r="K111" s="33"/>
      <c r="L111" s="211"/>
    </row>
    <row r="112" spans="2:12">
      <c r="B112" s="36"/>
      <c r="C112" s="38"/>
      <c r="D112" s="37"/>
      <c r="E112" s="115"/>
      <c r="F112" s="115"/>
      <c r="G112" s="33"/>
      <c r="H112" s="33"/>
      <c r="I112" s="33"/>
      <c r="J112" s="33"/>
      <c r="K112" s="33"/>
      <c r="L112" s="211"/>
    </row>
    <row r="113" spans="2:12">
      <c r="B113" s="36"/>
      <c r="C113" s="38"/>
      <c r="D113" s="37"/>
      <c r="E113" s="115"/>
      <c r="F113" s="115"/>
      <c r="G113" s="33"/>
      <c r="H113" s="33"/>
      <c r="I113" s="33"/>
      <c r="J113" s="33"/>
      <c r="K113" s="33"/>
      <c r="L113" s="211"/>
    </row>
    <row r="114" spans="2:12" ht="56.25" customHeight="1">
      <c r="B114" s="36"/>
      <c r="C114" s="38"/>
      <c r="D114" s="37"/>
      <c r="E114" s="115"/>
      <c r="F114" s="115"/>
      <c r="G114" s="33"/>
      <c r="H114" s="33"/>
      <c r="I114" s="33"/>
      <c r="J114" s="33"/>
      <c r="K114" s="33"/>
      <c r="L114" s="211"/>
    </row>
    <row r="115" spans="2:12">
      <c r="B115" s="36"/>
      <c r="C115" s="38"/>
      <c r="D115" s="37"/>
      <c r="E115" s="115"/>
      <c r="F115" s="115"/>
      <c r="G115" s="33"/>
      <c r="H115" s="33"/>
      <c r="I115" s="33"/>
      <c r="J115" s="33"/>
      <c r="K115" s="33"/>
      <c r="L115" s="211"/>
    </row>
    <row r="116" spans="2:12">
      <c r="B116" s="36"/>
      <c r="C116" s="38"/>
      <c r="D116" s="37"/>
      <c r="E116" s="115"/>
      <c r="F116" s="115"/>
      <c r="G116" s="33"/>
      <c r="H116" s="33"/>
      <c r="I116" s="33"/>
      <c r="J116" s="33"/>
      <c r="K116" s="33"/>
      <c r="L116" s="211"/>
    </row>
    <row r="117" spans="2:12">
      <c r="B117" s="36"/>
      <c r="C117" s="38"/>
      <c r="D117" s="37"/>
      <c r="E117" s="115"/>
      <c r="F117" s="115"/>
      <c r="G117" s="33"/>
      <c r="H117" s="33"/>
      <c r="I117" s="33"/>
      <c r="J117" s="33"/>
      <c r="K117" s="33"/>
      <c r="L117" s="211"/>
    </row>
    <row r="118" spans="2:12">
      <c r="B118" s="36"/>
      <c r="C118" s="38"/>
      <c r="D118" s="37"/>
      <c r="E118" s="115"/>
      <c r="F118" s="115"/>
      <c r="G118" s="33"/>
      <c r="H118" s="33"/>
      <c r="I118" s="33"/>
      <c r="J118" s="33"/>
      <c r="K118" s="33"/>
      <c r="L118" s="211"/>
    </row>
    <row r="119" spans="2:12">
      <c r="B119" s="36"/>
      <c r="C119" s="38"/>
      <c r="D119" s="37"/>
      <c r="E119" s="115"/>
      <c r="F119" s="115"/>
      <c r="G119" s="33"/>
      <c r="H119" s="33"/>
      <c r="I119" s="33"/>
      <c r="J119" s="33"/>
      <c r="K119" s="33"/>
      <c r="L119" s="211"/>
    </row>
    <row r="120" spans="2:12">
      <c r="B120" s="36"/>
      <c r="C120" s="38"/>
      <c r="D120" s="37"/>
      <c r="E120" s="115"/>
      <c r="F120" s="115"/>
      <c r="G120" s="33"/>
      <c r="H120" s="33"/>
      <c r="I120" s="33"/>
      <c r="J120" s="33"/>
      <c r="K120" s="33"/>
      <c r="L120" s="211"/>
    </row>
    <row r="121" spans="2:12">
      <c r="B121" s="36"/>
      <c r="C121" s="38"/>
      <c r="D121" s="37"/>
      <c r="E121" s="115"/>
      <c r="F121" s="115"/>
      <c r="G121" s="33"/>
      <c r="H121" s="33"/>
      <c r="I121" s="33"/>
      <c r="J121" s="33"/>
      <c r="K121" s="33"/>
      <c r="L121" s="211"/>
    </row>
    <row r="122" spans="2:12">
      <c r="B122" s="36"/>
      <c r="C122" s="38"/>
      <c r="D122" s="37"/>
      <c r="E122" s="115"/>
      <c r="F122" s="115"/>
      <c r="G122" s="33"/>
      <c r="H122" s="33"/>
      <c r="I122" s="33"/>
      <c r="J122" s="33"/>
      <c r="K122" s="33"/>
      <c r="L122" s="211"/>
    </row>
    <row r="123" spans="2:12">
      <c r="B123" s="36"/>
      <c r="C123" s="38"/>
      <c r="D123" s="37"/>
      <c r="E123" s="116"/>
      <c r="F123" s="116"/>
      <c r="G123" s="33"/>
      <c r="H123" s="33"/>
      <c r="I123" s="33"/>
      <c r="J123" s="33"/>
      <c r="K123" s="33"/>
      <c r="L123" s="211"/>
    </row>
    <row r="124" spans="2:12">
      <c r="B124" s="36"/>
      <c r="C124" s="38"/>
      <c r="D124" s="37"/>
      <c r="E124" s="115"/>
      <c r="F124" s="115"/>
      <c r="G124" s="33"/>
      <c r="H124" s="33"/>
      <c r="I124" s="33"/>
      <c r="J124" s="33"/>
      <c r="K124" s="33"/>
      <c r="L124" s="211"/>
    </row>
    <row r="125" spans="2:12">
      <c r="B125" s="36"/>
      <c r="C125" s="38"/>
      <c r="D125" s="37"/>
      <c r="E125" s="115"/>
      <c r="F125" s="115"/>
      <c r="G125" s="33"/>
      <c r="H125" s="33"/>
      <c r="I125" s="33"/>
      <c r="J125" s="33"/>
      <c r="K125" s="33"/>
      <c r="L125" s="211"/>
    </row>
    <row r="126" spans="2:12">
      <c r="B126" s="36"/>
      <c r="C126" s="38"/>
      <c r="D126" s="37"/>
      <c r="E126" s="115"/>
      <c r="F126" s="115"/>
      <c r="G126" s="33"/>
      <c r="H126" s="33"/>
      <c r="I126" s="33"/>
      <c r="J126" s="33"/>
      <c r="K126" s="33"/>
      <c r="L126" s="211"/>
    </row>
    <row r="127" spans="2:12">
      <c r="B127" s="36"/>
      <c r="C127" s="38"/>
      <c r="D127" s="37"/>
      <c r="E127" s="115"/>
      <c r="F127" s="115"/>
      <c r="G127" s="33"/>
      <c r="H127" s="33"/>
      <c r="I127" s="33"/>
      <c r="J127" s="33"/>
      <c r="K127" s="33"/>
      <c r="L127" s="211"/>
    </row>
    <row r="128" spans="2:12">
      <c r="B128" s="36"/>
      <c r="C128" s="38"/>
      <c r="D128" s="37"/>
      <c r="E128" s="115"/>
      <c r="F128" s="115"/>
      <c r="G128" s="33"/>
      <c r="H128" s="33"/>
      <c r="I128" s="33"/>
      <c r="J128" s="33"/>
      <c r="K128" s="33"/>
      <c r="L128" s="211"/>
    </row>
    <row r="129" spans="2:12">
      <c r="B129" s="36"/>
      <c r="C129" s="38"/>
      <c r="D129" s="37"/>
      <c r="E129" s="115"/>
      <c r="F129" s="115"/>
      <c r="G129" s="33"/>
      <c r="H129" s="33"/>
      <c r="I129" s="33"/>
      <c r="J129" s="33"/>
      <c r="K129" s="33"/>
      <c r="L129" s="211"/>
    </row>
    <row r="130" spans="2:12">
      <c r="B130" s="36"/>
      <c r="C130" s="38"/>
      <c r="D130" s="37"/>
      <c r="E130" s="117"/>
      <c r="F130" s="117"/>
      <c r="G130" s="33"/>
      <c r="H130" s="33"/>
      <c r="I130" s="33"/>
      <c r="J130" s="33"/>
      <c r="K130" s="33"/>
      <c r="L130" s="211"/>
    </row>
    <row r="131" spans="2:12">
      <c r="B131" s="36"/>
      <c r="C131" s="38"/>
      <c r="D131" s="37"/>
      <c r="E131" s="118"/>
      <c r="F131" s="118"/>
      <c r="G131" s="33"/>
      <c r="H131" s="33"/>
      <c r="I131" s="33"/>
      <c r="J131" s="33"/>
      <c r="K131" s="33"/>
      <c r="L131" s="211"/>
    </row>
    <row r="132" spans="2:12">
      <c r="B132" s="36"/>
      <c r="C132" s="38"/>
      <c r="D132" s="37"/>
      <c r="E132" s="115"/>
      <c r="F132" s="115"/>
      <c r="G132" s="33"/>
      <c r="H132" s="33"/>
      <c r="I132" s="33"/>
      <c r="J132" s="33"/>
      <c r="K132" s="33"/>
      <c r="L132" s="211"/>
    </row>
    <row r="133" spans="2:12">
      <c r="B133" s="36"/>
      <c r="C133" s="38"/>
      <c r="D133" s="37"/>
      <c r="E133" s="115"/>
      <c r="F133" s="115"/>
      <c r="G133" s="33"/>
      <c r="H133" s="33"/>
      <c r="I133" s="33"/>
      <c r="J133" s="33"/>
      <c r="K133" s="33"/>
      <c r="L133" s="211"/>
    </row>
    <row r="134" spans="2:12">
      <c r="B134" s="36"/>
      <c r="C134" s="38"/>
      <c r="D134" s="37"/>
      <c r="E134" s="115"/>
      <c r="F134" s="115"/>
      <c r="G134" s="33"/>
      <c r="H134" s="33"/>
      <c r="I134" s="33"/>
      <c r="J134" s="33"/>
      <c r="K134" s="33"/>
      <c r="L134" s="211"/>
    </row>
    <row r="135" spans="2:12">
      <c r="B135" s="36"/>
      <c r="C135" s="38"/>
      <c r="D135" s="37"/>
      <c r="E135" s="116"/>
      <c r="F135" s="116"/>
      <c r="G135" s="33"/>
      <c r="H135" s="33"/>
      <c r="I135" s="33"/>
      <c r="J135" s="33"/>
      <c r="K135" s="33"/>
      <c r="L135" s="211"/>
    </row>
    <row r="136" spans="2:12">
      <c r="B136" s="36"/>
      <c r="C136" s="38"/>
      <c r="D136" s="37"/>
      <c r="E136" s="115"/>
      <c r="F136" s="115"/>
      <c r="G136" s="33"/>
      <c r="H136" s="33"/>
      <c r="I136" s="33"/>
      <c r="J136" s="33"/>
      <c r="K136" s="33"/>
      <c r="L136" s="211"/>
    </row>
    <row r="137" spans="2:12">
      <c r="B137" s="36"/>
      <c r="C137" s="38"/>
      <c r="D137" s="37"/>
      <c r="E137" s="115"/>
      <c r="F137" s="115"/>
      <c r="G137" s="33"/>
      <c r="H137" s="33"/>
      <c r="I137" s="33"/>
      <c r="J137" s="33"/>
      <c r="K137" s="33"/>
      <c r="L137" s="211"/>
    </row>
    <row r="138" spans="2:12">
      <c r="B138" s="36"/>
      <c r="C138" s="38"/>
      <c r="D138" s="37"/>
      <c r="E138" s="115"/>
      <c r="F138" s="115"/>
      <c r="G138" s="33"/>
      <c r="H138" s="33"/>
      <c r="I138" s="33"/>
      <c r="J138" s="33"/>
      <c r="K138" s="33"/>
      <c r="L138" s="211"/>
    </row>
    <row r="139" spans="2:12">
      <c r="B139" s="36"/>
      <c r="C139" s="38"/>
      <c r="D139" s="37"/>
      <c r="E139" s="115"/>
      <c r="F139" s="115"/>
      <c r="G139" s="33"/>
      <c r="H139" s="33"/>
      <c r="I139" s="33"/>
      <c r="J139" s="33"/>
      <c r="K139" s="33"/>
      <c r="L139" s="211"/>
    </row>
    <row r="140" spans="2:12">
      <c r="B140" s="36"/>
      <c r="C140" s="38"/>
      <c r="D140" s="37"/>
      <c r="E140" s="115"/>
      <c r="F140" s="115"/>
      <c r="G140" s="33"/>
      <c r="H140" s="33"/>
      <c r="I140" s="33"/>
      <c r="J140" s="33"/>
      <c r="K140" s="33"/>
      <c r="L140" s="211"/>
    </row>
    <row r="141" spans="2:12">
      <c r="B141" s="36"/>
      <c r="C141" s="38"/>
      <c r="D141" s="37"/>
      <c r="E141" s="115"/>
      <c r="F141" s="115"/>
      <c r="G141" s="33"/>
      <c r="H141" s="33"/>
      <c r="I141" s="33"/>
      <c r="J141" s="33"/>
      <c r="K141" s="33"/>
      <c r="L141" s="211"/>
    </row>
    <row r="142" spans="2:12">
      <c r="B142" s="36"/>
      <c r="C142" s="38"/>
      <c r="D142" s="37"/>
      <c r="E142" s="115"/>
      <c r="F142" s="115"/>
      <c r="G142" s="33"/>
      <c r="H142" s="33"/>
      <c r="I142" s="33"/>
      <c r="J142" s="33"/>
      <c r="K142" s="33"/>
      <c r="L142" s="211"/>
    </row>
    <row r="143" spans="2:12">
      <c r="B143" s="36"/>
      <c r="C143" s="38"/>
      <c r="D143" s="37"/>
      <c r="E143" s="115"/>
      <c r="F143" s="115"/>
      <c r="G143" s="33"/>
      <c r="H143" s="33"/>
      <c r="I143" s="33"/>
      <c r="J143" s="33"/>
      <c r="K143" s="33"/>
      <c r="L143" s="211"/>
    </row>
    <row r="144" spans="2:12">
      <c r="B144" s="36"/>
      <c r="C144" s="38"/>
      <c r="D144" s="37"/>
      <c r="E144" s="115"/>
      <c r="F144" s="115"/>
      <c r="G144" s="33"/>
      <c r="H144" s="33"/>
      <c r="I144" s="33"/>
      <c r="J144" s="33"/>
      <c r="K144" s="33"/>
      <c r="L144" s="211"/>
    </row>
    <row r="145" spans="2:12">
      <c r="B145" s="36"/>
      <c r="C145" s="38"/>
      <c r="D145" s="37"/>
      <c r="E145" s="115"/>
      <c r="F145" s="115"/>
      <c r="G145" s="33"/>
      <c r="H145" s="33"/>
      <c r="I145" s="33"/>
      <c r="J145" s="33"/>
      <c r="K145" s="33"/>
      <c r="L145" s="211"/>
    </row>
    <row r="146" spans="2:12">
      <c r="B146" s="36"/>
      <c r="C146" s="38"/>
      <c r="D146" s="37"/>
      <c r="E146" s="116"/>
      <c r="F146" s="116"/>
      <c r="G146" s="33"/>
      <c r="H146" s="33"/>
      <c r="I146" s="33"/>
      <c r="J146" s="33"/>
      <c r="K146" s="33"/>
      <c r="L146" s="211"/>
    </row>
    <row r="147" spans="2:12">
      <c r="B147" s="36"/>
      <c r="C147" s="38"/>
      <c r="D147" s="37"/>
      <c r="E147" s="119"/>
      <c r="F147" s="119"/>
      <c r="G147" s="33"/>
      <c r="H147" s="33"/>
      <c r="I147" s="33"/>
      <c r="J147" s="33"/>
      <c r="K147" s="33"/>
      <c r="L147" s="211"/>
    </row>
    <row r="148" spans="2:12">
      <c r="B148" s="36"/>
      <c r="C148" s="38"/>
      <c r="D148" s="37"/>
      <c r="E148" s="120"/>
      <c r="F148" s="120"/>
      <c r="G148" s="33"/>
      <c r="H148" s="33"/>
      <c r="I148" s="33"/>
      <c r="J148" s="33"/>
      <c r="K148" s="33"/>
      <c r="L148" s="211"/>
    </row>
    <row r="149" spans="2:12">
      <c r="B149" s="36"/>
      <c r="C149" s="38"/>
      <c r="D149" s="37"/>
      <c r="E149" s="120"/>
      <c r="F149" s="120"/>
      <c r="G149" s="33"/>
      <c r="H149" s="33"/>
      <c r="I149" s="33"/>
      <c r="J149" s="33"/>
      <c r="K149" s="33"/>
      <c r="L149" s="211"/>
    </row>
    <row r="150" spans="2:12">
      <c r="B150" s="36"/>
      <c r="C150" s="38"/>
      <c r="D150" s="37"/>
      <c r="E150" s="120"/>
      <c r="F150" s="120"/>
      <c r="G150" s="33"/>
      <c r="H150" s="33"/>
      <c r="I150" s="33"/>
      <c r="J150" s="33"/>
      <c r="K150" s="33"/>
      <c r="L150" s="211"/>
    </row>
    <row r="151" spans="2:12">
      <c r="B151" s="36"/>
      <c r="C151" s="38"/>
      <c r="D151" s="37"/>
      <c r="E151" s="120"/>
      <c r="F151" s="120"/>
      <c r="G151" s="33"/>
      <c r="H151" s="33"/>
      <c r="I151" s="33"/>
      <c r="J151" s="33"/>
      <c r="K151" s="33"/>
      <c r="L151" s="211"/>
    </row>
    <row r="152" spans="2:12">
      <c r="B152" s="36"/>
      <c r="C152" s="38"/>
      <c r="D152" s="37"/>
      <c r="E152" s="120"/>
      <c r="F152" s="120"/>
      <c r="G152" s="33"/>
      <c r="H152" s="33"/>
      <c r="I152" s="33"/>
      <c r="J152" s="33"/>
      <c r="K152" s="33"/>
      <c r="L152" s="211"/>
    </row>
    <row r="153" spans="2:12">
      <c r="B153" s="36"/>
      <c r="C153" s="38"/>
      <c r="D153" s="37"/>
      <c r="E153" s="120"/>
      <c r="F153" s="120"/>
      <c r="G153" s="33"/>
      <c r="H153" s="33"/>
      <c r="I153" s="33"/>
      <c r="J153" s="33"/>
      <c r="K153" s="33"/>
      <c r="L153" s="211"/>
    </row>
    <row r="154" spans="2:12">
      <c r="B154" s="36"/>
      <c r="C154" s="38"/>
      <c r="D154" s="37"/>
      <c r="E154" s="120"/>
      <c r="F154" s="120"/>
      <c r="G154" s="33"/>
      <c r="H154" s="33"/>
      <c r="I154" s="33"/>
      <c r="J154" s="33"/>
      <c r="K154" s="33"/>
      <c r="L154" s="211"/>
    </row>
    <row r="155" spans="2:12">
      <c r="B155" s="36"/>
      <c r="C155" s="38"/>
      <c r="D155" s="37"/>
      <c r="E155" s="120"/>
      <c r="F155" s="120"/>
      <c r="G155" s="33"/>
      <c r="H155" s="33"/>
      <c r="I155" s="33"/>
      <c r="J155" s="33"/>
      <c r="K155" s="33"/>
      <c r="L155" s="211"/>
    </row>
    <row r="156" spans="2:12">
      <c r="B156" s="36"/>
      <c r="C156" s="38"/>
      <c r="D156" s="37"/>
      <c r="E156" s="120"/>
      <c r="F156" s="120"/>
      <c r="G156" s="33"/>
      <c r="H156" s="33"/>
      <c r="I156" s="33"/>
      <c r="J156" s="33"/>
      <c r="K156" s="33"/>
      <c r="L156" s="211"/>
    </row>
    <row r="157" spans="2:12">
      <c r="B157" s="36"/>
      <c r="C157" s="38"/>
      <c r="D157" s="37"/>
      <c r="E157" s="120"/>
      <c r="F157" s="120"/>
      <c r="G157" s="33"/>
      <c r="H157" s="33"/>
      <c r="I157" s="33"/>
      <c r="J157" s="33"/>
      <c r="K157" s="33"/>
      <c r="L157" s="211"/>
    </row>
    <row r="158" spans="2:12">
      <c r="B158" s="36"/>
      <c r="C158" s="38"/>
      <c r="D158" s="37"/>
      <c r="E158" s="120"/>
      <c r="F158" s="120"/>
      <c r="G158" s="33"/>
      <c r="H158" s="33"/>
      <c r="I158" s="33"/>
      <c r="J158" s="33"/>
      <c r="K158" s="33"/>
      <c r="L158" s="211"/>
    </row>
    <row r="159" spans="2:12">
      <c r="B159" s="36"/>
      <c r="C159" s="38"/>
      <c r="D159" s="37"/>
      <c r="E159" s="120"/>
      <c r="F159" s="120"/>
      <c r="G159" s="33"/>
      <c r="H159" s="33"/>
      <c r="I159" s="33"/>
      <c r="J159" s="33"/>
      <c r="K159" s="33"/>
      <c r="L159" s="211"/>
    </row>
    <row r="160" spans="2:12">
      <c r="B160" s="36"/>
      <c r="C160" s="38"/>
      <c r="D160" s="37"/>
      <c r="E160" s="120"/>
      <c r="F160" s="120"/>
      <c r="G160" s="33"/>
      <c r="H160" s="33"/>
      <c r="I160" s="33"/>
      <c r="J160" s="33"/>
      <c r="K160" s="33"/>
      <c r="L160" s="211"/>
    </row>
    <row r="161" spans="2:12">
      <c r="B161" s="36"/>
      <c r="C161" s="38"/>
      <c r="D161" s="37"/>
      <c r="E161" s="116"/>
      <c r="F161" s="116"/>
      <c r="G161" s="33"/>
      <c r="H161" s="33"/>
      <c r="I161" s="33"/>
      <c r="J161" s="33"/>
      <c r="K161" s="33"/>
      <c r="L161" s="211"/>
    </row>
    <row r="162" spans="2:12">
      <c r="B162" s="36"/>
      <c r="C162" s="38"/>
      <c r="D162" s="37"/>
      <c r="E162" s="115"/>
      <c r="F162" s="115"/>
      <c r="G162" s="33"/>
      <c r="H162" s="33"/>
      <c r="I162" s="33"/>
      <c r="J162" s="33"/>
      <c r="K162" s="33"/>
      <c r="L162" s="211"/>
    </row>
    <row r="163" spans="2:12">
      <c r="B163" s="36"/>
      <c r="C163" s="38"/>
      <c r="D163" s="37"/>
      <c r="E163" s="115"/>
      <c r="F163" s="115"/>
      <c r="G163" s="33"/>
      <c r="H163" s="33"/>
      <c r="I163" s="33"/>
      <c r="J163" s="33"/>
      <c r="K163" s="33"/>
      <c r="L163" s="211"/>
    </row>
    <row r="164" spans="2:12">
      <c r="B164" s="36"/>
      <c r="C164" s="38"/>
      <c r="D164" s="37"/>
      <c r="E164" s="115"/>
      <c r="F164" s="115"/>
      <c r="G164" s="33"/>
      <c r="H164" s="33"/>
      <c r="I164" s="33"/>
      <c r="J164" s="33"/>
      <c r="K164" s="33"/>
      <c r="L164" s="211"/>
    </row>
    <row r="165" spans="2:12">
      <c r="B165" s="36"/>
      <c r="C165" s="38"/>
      <c r="D165" s="37"/>
      <c r="E165" s="115"/>
      <c r="F165" s="115"/>
      <c r="G165" s="33"/>
      <c r="H165" s="33"/>
      <c r="I165" s="33"/>
      <c r="J165" s="33"/>
      <c r="K165" s="33"/>
      <c r="L165" s="211"/>
    </row>
    <row r="166" spans="2:12">
      <c r="B166" s="36"/>
      <c r="C166" s="38"/>
      <c r="D166" s="37"/>
      <c r="E166" s="115"/>
      <c r="F166" s="115"/>
      <c r="G166" s="33"/>
      <c r="H166" s="33"/>
      <c r="I166" s="33"/>
      <c r="J166" s="33"/>
      <c r="K166" s="33"/>
      <c r="L166" s="211"/>
    </row>
    <row r="167" spans="2:12">
      <c r="B167" s="36"/>
      <c r="C167" s="38"/>
      <c r="D167" s="37"/>
      <c r="E167" s="115"/>
      <c r="F167" s="115"/>
      <c r="G167" s="33"/>
      <c r="H167" s="33"/>
      <c r="I167" s="33"/>
      <c r="J167" s="33"/>
      <c r="K167" s="33"/>
      <c r="L167" s="211"/>
    </row>
    <row r="168" spans="2:12">
      <c r="B168" s="36"/>
      <c r="C168" s="38"/>
      <c r="D168" s="37"/>
      <c r="E168" s="115"/>
      <c r="F168" s="115"/>
      <c r="G168" s="33"/>
      <c r="H168" s="33"/>
      <c r="I168" s="33"/>
      <c r="J168" s="33"/>
      <c r="K168" s="33"/>
      <c r="L168" s="211"/>
    </row>
    <row r="169" spans="2:12">
      <c r="B169" s="36"/>
      <c r="C169" s="38"/>
      <c r="D169" s="37"/>
      <c r="E169" s="115"/>
      <c r="F169" s="115"/>
      <c r="G169" s="33"/>
      <c r="H169" s="33"/>
      <c r="I169" s="33"/>
      <c r="J169" s="33"/>
      <c r="K169" s="33"/>
      <c r="L169" s="211"/>
    </row>
    <row r="170" spans="2:12">
      <c r="B170" s="36"/>
      <c r="C170" s="38"/>
      <c r="D170" s="37"/>
      <c r="E170" s="115"/>
      <c r="F170" s="115"/>
      <c r="G170" s="33"/>
      <c r="H170" s="33"/>
      <c r="I170" s="33"/>
      <c r="J170" s="33"/>
      <c r="K170" s="33"/>
      <c r="L170" s="211"/>
    </row>
    <row r="171" spans="2:12">
      <c r="B171" s="36"/>
      <c r="C171" s="38"/>
      <c r="D171" s="37"/>
      <c r="E171" s="121"/>
      <c r="F171" s="121"/>
      <c r="G171" s="33"/>
      <c r="H171" s="33"/>
      <c r="I171" s="33"/>
      <c r="J171" s="33"/>
      <c r="K171" s="33"/>
      <c r="L171" s="211"/>
    </row>
    <row r="172" spans="2:12">
      <c r="B172" s="36"/>
      <c r="C172" s="38"/>
      <c r="D172" s="37"/>
      <c r="E172" s="121"/>
      <c r="F172" s="121"/>
      <c r="G172" s="33"/>
      <c r="H172" s="33"/>
      <c r="I172" s="33"/>
      <c r="J172" s="33"/>
      <c r="K172" s="33"/>
      <c r="L172" s="211"/>
    </row>
    <row r="173" spans="2:12">
      <c r="B173" s="36"/>
      <c r="C173" s="38"/>
      <c r="D173" s="37"/>
      <c r="E173" s="117"/>
      <c r="F173" s="117"/>
      <c r="G173" s="33"/>
      <c r="H173" s="33"/>
      <c r="I173" s="33"/>
      <c r="J173" s="33"/>
      <c r="K173" s="33"/>
      <c r="L173" s="211"/>
    </row>
    <row r="174" spans="2:12">
      <c r="B174" s="36"/>
      <c r="C174" s="38"/>
      <c r="D174" s="37"/>
      <c r="E174" s="115"/>
      <c r="F174" s="115"/>
      <c r="G174" s="33"/>
      <c r="H174" s="33"/>
      <c r="I174" s="33"/>
      <c r="J174" s="33"/>
      <c r="K174" s="33"/>
      <c r="L174" s="211"/>
    </row>
    <row r="175" spans="2:12">
      <c r="B175" s="36"/>
      <c r="C175" s="38"/>
      <c r="D175" s="37"/>
      <c r="E175" s="116"/>
      <c r="F175" s="116"/>
      <c r="G175" s="33"/>
      <c r="H175" s="33"/>
      <c r="I175" s="33"/>
      <c r="J175" s="33"/>
      <c r="K175" s="33"/>
      <c r="L175" s="211"/>
    </row>
    <row r="176" spans="2:12">
      <c r="E176" s="119"/>
      <c r="F176" s="119"/>
    </row>
    <row r="177" spans="5:6">
      <c r="E177" s="119"/>
      <c r="F177" s="119"/>
    </row>
    <row r="178" spans="5:6">
      <c r="E178" s="119"/>
      <c r="F178" s="119"/>
    </row>
    <row r="179" spans="5:6">
      <c r="E179" s="115"/>
      <c r="F179" s="115"/>
    </row>
    <row r="180" spans="5:6">
      <c r="E180" s="116"/>
      <c r="F180" s="116"/>
    </row>
    <row r="181" spans="5:6">
      <c r="E181" s="115"/>
      <c r="F181" s="115"/>
    </row>
    <row r="182" spans="5:6">
      <c r="E182" s="115"/>
      <c r="F182" s="115"/>
    </row>
    <row r="183" spans="5:6">
      <c r="E183" s="116"/>
      <c r="F183" s="116"/>
    </row>
    <row r="184" spans="5:6">
      <c r="E184" s="115"/>
      <c r="F184" s="115"/>
    </row>
    <row r="185" spans="5:6">
      <c r="E185" s="115"/>
      <c r="F185" s="115"/>
    </row>
    <row r="186" spans="5:6">
      <c r="E186" s="115"/>
      <c r="F186" s="115"/>
    </row>
    <row r="187" spans="5:6">
      <c r="E187" s="115"/>
      <c r="F187" s="115"/>
    </row>
    <row r="188" spans="5:6">
      <c r="E188" s="115"/>
      <c r="F188" s="115"/>
    </row>
    <row r="189" spans="5:6">
      <c r="E189" s="115"/>
      <c r="F189" s="115"/>
    </row>
    <row r="190" spans="5:6">
      <c r="E190" s="116"/>
      <c r="F190" s="116"/>
    </row>
    <row r="191" spans="5:6">
      <c r="E191" s="119"/>
      <c r="F191" s="119"/>
    </row>
    <row r="192" spans="5:6">
      <c r="E192" s="119"/>
      <c r="F192" s="119"/>
    </row>
    <row r="193" spans="5:6">
      <c r="E193" s="119"/>
      <c r="F193" s="119"/>
    </row>
    <row r="194" spans="5:6">
      <c r="E194" s="119"/>
      <c r="F194" s="119"/>
    </row>
    <row r="195" spans="5:6">
      <c r="E195" s="119"/>
      <c r="F195" s="119"/>
    </row>
    <row r="196" spans="5:6">
      <c r="E196" s="115"/>
      <c r="F196" s="115"/>
    </row>
    <row r="197" spans="5:6">
      <c r="E197" s="115"/>
      <c r="F197" s="115"/>
    </row>
    <row r="198" spans="5:6">
      <c r="E198" s="115"/>
      <c r="F198" s="115"/>
    </row>
    <row r="199" spans="5:6">
      <c r="E199" s="115"/>
      <c r="F199" s="115"/>
    </row>
    <row r="200" spans="5:6">
      <c r="E200" s="116"/>
      <c r="F200" s="116"/>
    </row>
    <row r="201" spans="5:6">
      <c r="E201" s="115"/>
      <c r="F201" s="115"/>
    </row>
    <row r="202" spans="5:6">
      <c r="E202" s="115"/>
      <c r="F202" s="115"/>
    </row>
    <row r="203" spans="5:6">
      <c r="E203" s="115"/>
      <c r="F203" s="115"/>
    </row>
    <row r="204" spans="5:6">
      <c r="E204" s="115"/>
      <c r="F204" s="115"/>
    </row>
    <row r="205" spans="5:6">
      <c r="E205" s="115"/>
      <c r="F205" s="115"/>
    </row>
    <row r="206" spans="5:6">
      <c r="E206" s="115"/>
      <c r="F206" s="115"/>
    </row>
    <row r="207" spans="5:6">
      <c r="E207" s="115"/>
      <c r="F207" s="115"/>
    </row>
    <row r="208" spans="5:6">
      <c r="E208" s="115"/>
      <c r="F208" s="115"/>
    </row>
    <row r="209" spans="5:6">
      <c r="E209" s="122"/>
      <c r="F209" s="122"/>
    </row>
    <row r="210" spans="5:6">
      <c r="E210" s="120"/>
      <c r="F210" s="120"/>
    </row>
    <row r="211" spans="5:6">
      <c r="E211" s="116"/>
      <c r="F211" s="116"/>
    </row>
    <row r="212" spans="5:6">
      <c r="E212" s="121"/>
      <c r="F212" s="121"/>
    </row>
    <row r="213" spans="5:6">
      <c r="E213" s="115"/>
      <c r="F213" s="115"/>
    </row>
    <row r="214" spans="5:6">
      <c r="E214" s="115"/>
      <c r="F214" s="115"/>
    </row>
    <row r="215" spans="5:6">
      <c r="E215" s="115"/>
      <c r="F215" s="115"/>
    </row>
    <row r="216" spans="5:6">
      <c r="E216" s="115"/>
      <c r="F216" s="115"/>
    </row>
    <row r="217" spans="5:6">
      <c r="E217" s="115"/>
      <c r="F217" s="115"/>
    </row>
    <row r="218" spans="5:6">
      <c r="E218" s="115"/>
      <c r="F218" s="115"/>
    </row>
    <row r="219" spans="5:6">
      <c r="E219" s="115"/>
      <c r="F219" s="115"/>
    </row>
    <row r="220" spans="5:6">
      <c r="E220" s="115"/>
      <c r="F220" s="115"/>
    </row>
    <row r="221" spans="5:6">
      <c r="E221" s="115"/>
      <c r="F221" s="115"/>
    </row>
    <row r="222" spans="5:6">
      <c r="E222" s="115"/>
      <c r="F222" s="115"/>
    </row>
    <row r="223" spans="5:6">
      <c r="E223" s="115"/>
      <c r="F223" s="115"/>
    </row>
    <row r="224" spans="5:6">
      <c r="E224" s="115"/>
      <c r="F224" s="115"/>
    </row>
    <row r="225" spans="5:6">
      <c r="E225" s="115"/>
      <c r="F225" s="115"/>
    </row>
    <row r="226" spans="5:6">
      <c r="E226" s="115"/>
      <c r="F226" s="115"/>
    </row>
    <row r="227" spans="5:6">
      <c r="E227" s="115"/>
      <c r="F227" s="115"/>
    </row>
    <row r="228" spans="5:6">
      <c r="E228" s="115"/>
      <c r="F228" s="115"/>
    </row>
    <row r="229" spans="5:6">
      <c r="E229" s="115"/>
      <c r="F229" s="115"/>
    </row>
    <row r="230" spans="5:6">
      <c r="E230" s="115"/>
      <c r="F230" s="115"/>
    </row>
    <row r="231" spans="5:6">
      <c r="E231" s="115"/>
      <c r="F231" s="115"/>
    </row>
    <row r="232" spans="5:6">
      <c r="E232" s="115"/>
      <c r="F232" s="115"/>
    </row>
    <row r="233" spans="5:6">
      <c r="E233" s="115"/>
      <c r="F233" s="115"/>
    </row>
    <row r="234" spans="5:6">
      <c r="E234" s="116"/>
      <c r="F234" s="116"/>
    </row>
    <row r="235" spans="5:6">
      <c r="E235" s="115"/>
      <c r="F235" s="115"/>
    </row>
    <row r="236" spans="5:6">
      <c r="E236" s="115"/>
      <c r="F236" s="115"/>
    </row>
    <row r="237" spans="5:6">
      <c r="E237" s="115"/>
      <c r="F237" s="115"/>
    </row>
    <row r="238" spans="5:6">
      <c r="E238" s="115"/>
      <c r="F238" s="115"/>
    </row>
    <row r="239" spans="5:6">
      <c r="E239" s="115"/>
      <c r="F239" s="115"/>
    </row>
    <row r="240" spans="5:6">
      <c r="E240" s="115"/>
      <c r="F240" s="115"/>
    </row>
    <row r="241" spans="5:6">
      <c r="E241" s="115"/>
      <c r="F241" s="115"/>
    </row>
    <row r="242" spans="5:6">
      <c r="E242" s="115"/>
      <c r="F242" s="115"/>
    </row>
    <row r="243" spans="5:6">
      <c r="E243" s="115"/>
      <c r="F243" s="115"/>
    </row>
    <row r="244" spans="5:6">
      <c r="E244" s="115"/>
      <c r="F244" s="115"/>
    </row>
    <row r="245" spans="5:6">
      <c r="E245" s="115"/>
      <c r="F245" s="115"/>
    </row>
    <row r="246" spans="5:6">
      <c r="E246" s="115"/>
      <c r="F246" s="115"/>
    </row>
    <row r="247" spans="5:6">
      <c r="E247" s="115"/>
      <c r="F247" s="115"/>
    </row>
    <row r="248" spans="5:6">
      <c r="E248" s="117"/>
      <c r="F248" s="117"/>
    </row>
    <row r="249" spans="5:6">
      <c r="E249" s="115"/>
      <c r="F249" s="115"/>
    </row>
    <row r="250" spans="5:6">
      <c r="E250" s="123"/>
      <c r="F250" s="123"/>
    </row>
    <row r="251" spans="5:6">
      <c r="E251" s="115"/>
      <c r="F251" s="115"/>
    </row>
    <row r="252" spans="5:6">
      <c r="E252" s="123"/>
      <c r="F252" s="123"/>
    </row>
    <row r="253" spans="5:6">
      <c r="E253" s="115"/>
      <c r="F253" s="115"/>
    </row>
    <row r="254" spans="5:6">
      <c r="E254" s="115"/>
      <c r="F254" s="115"/>
    </row>
    <row r="255" spans="5:6">
      <c r="E255" s="123"/>
      <c r="F255" s="123"/>
    </row>
    <row r="256" spans="5:6">
      <c r="E256" s="115"/>
      <c r="F256" s="115"/>
    </row>
    <row r="257" spans="5:6">
      <c r="E257" s="115"/>
      <c r="F257" s="115"/>
    </row>
    <row r="258" spans="5:6">
      <c r="E258" s="115"/>
      <c r="F258" s="115"/>
    </row>
    <row r="259" spans="5:6">
      <c r="E259" s="115"/>
      <c r="F259" s="115"/>
    </row>
    <row r="260" spans="5:6">
      <c r="E260" s="115"/>
      <c r="F260" s="115"/>
    </row>
    <row r="261" spans="5:6">
      <c r="E261" s="123"/>
      <c r="F261" s="123"/>
    </row>
    <row r="262" spans="5:6">
      <c r="E262" s="115"/>
      <c r="F262" s="115"/>
    </row>
    <row r="263" spans="5:6">
      <c r="E263" s="124"/>
      <c r="F263" s="124"/>
    </row>
    <row r="264" spans="5:6">
      <c r="E264" s="124"/>
      <c r="F264" s="124"/>
    </row>
    <row r="265" spans="5:6">
      <c r="E265" s="115"/>
      <c r="F265" s="115"/>
    </row>
    <row r="266" spans="5:6">
      <c r="E266" s="115"/>
      <c r="F266" s="115"/>
    </row>
    <row r="267" spans="5:6">
      <c r="E267" s="66"/>
      <c r="F267" s="66"/>
    </row>
    <row r="268" spans="5:6">
      <c r="E268" s="67"/>
      <c r="F268" s="67"/>
    </row>
    <row r="269" spans="5:6">
      <c r="E269" s="67"/>
      <c r="F269" s="67"/>
    </row>
    <row r="270" spans="5:6">
      <c r="E270" s="67"/>
      <c r="F270" s="67"/>
    </row>
    <row r="271" spans="5:6">
      <c r="E271" s="67"/>
      <c r="F271" s="67"/>
    </row>
    <row r="272" spans="5:6">
      <c r="E272" s="67"/>
      <c r="F272" s="67"/>
    </row>
    <row r="273" spans="5:6">
      <c r="E273" s="67"/>
      <c r="F273" s="67"/>
    </row>
    <row r="274" spans="5:6">
      <c r="E274" s="67"/>
      <c r="F274" s="67"/>
    </row>
    <row r="275" spans="5:6">
      <c r="E275" s="21"/>
      <c r="F275" s="21"/>
    </row>
    <row r="276" spans="5:6">
      <c r="E276" s="21"/>
      <c r="F276" s="21"/>
    </row>
    <row r="277" spans="5:6">
      <c r="E277" s="21"/>
      <c r="F277" s="21"/>
    </row>
    <row r="278" spans="5:6">
      <c r="E278" s="21"/>
      <c r="F278" s="21"/>
    </row>
    <row r="279" spans="5:6">
      <c r="E279" s="21"/>
      <c r="F279" s="21"/>
    </row>
    <row r="280" spans="5:6">
      <c r="E280" s="21"/>
      <c r="F280" s="21"/>
    </row>
    <row r="281" spans="5:6">
      <c r="E281" s="21"/>
      <c r="F281" s="21"/>
    </row>
    <row r="282" spans="5:6">
      <c r="E282" s="21"/>
      <c r="F282" s="21"/>
    </row>
    <row r="283" spans="5:6">
      <c r="E283" s="21"/>
      <c r="F283" s="21"/>
    </row>
    <row r="284" spans="5:6">
      <c r="E284" s="21"/>
      <c r="F284" s="21"/>
    </row>
    <row r="285" spans="5:6">
      <c r="E285" s="21"/>
      <c r="F285" s="21"/>
    </row>
    <row r="286" spans="5:6">
      <c r="E286" s="21"/>
      <c r="F286" s="21"/>
    </row>
    <row r="287" spans="5:6">
      <c r="E287" s="21"/>
      <c r="F287" s="21"/>
    </row>
    <row r="288" spans="5:6">
      <c r="E288" s="21"/>
      <c r="F288" s="21"/>
    </row>
    <row r="289" spans="5:6">
      <c r="E289" s="9"/>
      <c r="F289" s="9"/>
    </row>
    <row r="290" spans="5:6">
      <c r="E290" s="9"/>
      <c r="F290" s="9"/>
    </row>
    <row r="291" spans="5:6">
      <c r="E291" s="9"/>
      <c r="F291" s="9"/>
    </row>
    <row r="292" spans="5:6">
      <c r="E292" s="9"/>
      <c r="F292" s="9"/>
    </row>
    <row r="293" spans="5:6">
      <c r="E293" s="9"/>
      <c r="F293" s="9"/>
    </row>
    <row r="294" spans="5:6">
      <c r="E294" s="9"/>
      <c r="F294" s="9"/>
    </row>
    <row r="295" spans="5:6">
      <c r="E295" s="9"/>
      <c r="F295" s="9"/>
    </row>
    <row r="296" spans="5:6">
      <c r="E296" s="9"/>
      <c r="F296" s="9"/>
    </row>
    <row r="297" spans="5:6">
      <c r="E297" s="9"/>
      <c r="F297" s="9"/>
    </row>
    <row r="298" spans="5:6">
      <c r="E298" s="9"/>
      <c r="F298" s="9"/>
    </row>
    <row r="299" spans="5:6">
      <c r="E299" s="9"/>
      <c r="F299" s="9"/>
    </row>
    <row r="300" spans="5:6">
      <c r="E300" s="9"/>
      <c r="F300" s="9"/>
    </row>
    <row r="301" spans="5:6">
      <c r="E301" s="9"/>
      <c r="F301" s="9"/>
    </row>
    <row r="302" spans="5:6">
      <c r="E302" s="9"/>
      <c r="F302" s="9"/>
    </row>
    <row r="303" spans="5:6">
      <c r="E303" s="9"/>
      <c r="F303" s="9"/>
    </row>
    <row r="304" spans="5:6">
      <c r="E304" s="9"/>
      <c r="F304" s="9"/>
    </row>
    <row r="305" spans="5:6">
      <c r="E305" s="9"/>
      <c r="F305" s="9"/>
    </row>
    <row r="306" spans="5:6">
      <c r="E306" s="9"/>
      <c r="F306" s="9"/>
    </row>
    <row r="307" spans="5:6">
      <c r="E307" s="9"/>
      <c r="F307" s="9"/>
    </row>
    <row r="308" spans="5:6">
      <c r="E308" s="9"/>
      <c r="F308" s="9"/>
    </row>
    <row r="309" spans="5:6">
      <c r="E309" s="9"/>
      <c r="F309" s="9"/>
    </row>
    <row r="310" spans="5:6">
      <c r="E310" s="9"/>
      <c r="F310" s="9"/>
    </row>
    <row r="311" spans="5:6">
      <c r="E311" s="9"/>
      <c r="F311" s="9"/>
    </row>
    <row r="312" spans="5:6">
      <c r="E312" s="9"/>
      <c r="F312" s="9"/>
    </row>
    <row r="313" spans="5:6">
      <c r="E313" s="9"/>
      <c r="F313" s="9"/>
    </row>
    <row r="314" spans="5:6">
      <c r="E314" s="9"/>
      <c r="F314" s="9"/>
    </row>
    <row r="315" spans="5:6">
      <c r="E315" s="9"/>
      <c r="F315" s="9"/>
    </row>
    <row r="316" spans="5:6">
      <c r="E316" s="9"/>
      <c r="F316" s="9"/>
    </row>
    <row r="317" spans="5:6">
      <c r="E317" s="9"/>
      <c r="F317" s="9"/>
    </row>
    <row r="318" spans="5:6">
      <c r="E318" s="9"/>
      <c r="F318" s="9"/>
    </row>
    <row r="319" spans="5:6">
      <c r="E319" s="9"/>
      <c r="F319" s="9"/>
    </row>
    <row r="320" spans="5:6">
      <c r="E320" s="9"/>
      <c r="F320" s="9"/>
    </row>
    <row r="321" spans="5:6">
      <c r="E321" s="9"/>
      <c r="F321" s="9"/>
    </row>
    <row r="322" spans="5:6">
      <c r="E322" s="9"/>
      <c r="F322" s="9"/>
    </row>
    <row r="323" spans="5:6">
      <c r="E323" s="9"/>
      <c r="F323" s="9"/>
    </row>
    <row r="324" spans="5:6">
      <c r="E324" s="9"/>
      <c r="F324" s="9"/>
    </row>
    <row r="325" spans="5:6">
      <c r="E325" s="9"/>
      <c r="F325" s="9"/>
    </row>
    <row r="326" spans="5:6">
      <c r="E326" s="9"/>
      <c r="F326" s="9"/>
    </row>
    <row r="327" spans="5:6">
      <c r="E327" s="9"/>
      <c r="F327" s="9"/>
    </row>
    <row r="328" spans="5:6">
      <c r="E328" s="9"/>
      <c r="F328" s="9"/>
    </row>
    <row r="329" spans="5:6">
      <c r="E329" s="9"/>
      <c r="F329" s="9"/>
    </row>
    <row r="330" spans="5:6">
      <c r="E330" s="9"/>
      <c r="F330" s="9"/>
    </row>
    <row r="331" spans="5:6">
      <c r="E331" s="9"/>
      <c r="F331" s="9"/>
    </row>
    <row r="332" spans="5:6">
      <c r="E332" s="9"/>
      <c r="F332" s="9"/>
    </row>
    <row r="333" spans="5:6">
      <c r="E333" s="9"/>
      <c r="F333" s="9"/>
    </row>
    <row r="334" spans="5:6">
      <c r="E334" s="9"/>
      <c r="F334" s="9"/>
    </row>
    <row r="335" spans="5:6">
      <c r="E335" s="9"/>
      <c r="F335" s="9"/>
    </row>
    <row r="336" spans="5:6">
      <c r="E336" s="9"/>
      <c r="F336" s="9"/>
    </row>
    <row r="337" spans="5:6">
      <c r="E337" s="9"/>
      <c r="F337" s="9"/>
    </row>
    <row r="338" spans="5:6">
      <c r="E338" s="9"/>
      <c r="F338" s="9"/>
    </row>
    <row r="339" spans="5:6">
      <c r="E339" s="9"/>
      <c r="F339" s="9"/>
    </row>
    <row r="340" spans="5:6">
      <c r="E340" s="9"/>
      <c r="F340" s="9"/>
    </row>
    <row r="341" spans="5:6">
      <c r="E341" s="9"/>
      <c r="F341" s="9"/>
    </row>
    <row r="342" spans="5:6">
      <c r="E342" s="9"/>
      <c r="F342" s="9"/>
    </row>
    <row r="343" spans="5:6">
      <c r="E343" s="9"/>
      <c r="F343" s="9"/>
    </row>
    <row r="344" spans="5:6">
      <c r="E344" s="9"/>
      <c r="F344" s="9"/>
    </row>
    <row r="345" spans="5:6">
      <c r="E345" s="9"/>
      <c r="F345" s="9"/>
    </row>
    <row r="346" spans="5:6">
      <c r="E346" s="9"/>
      <c r="F346" s="9"/>
    </row>
    <row r="347" spans="5:6">
      <c r="E347" s="9"/>
      <c r="F347" s="9"/>
    </row>
    <row r="348" spans="5:6">
      <c r="E348" s="9"/>
      <c r="F348" s="9"/>
    </row>
    <row r="349" spans="5:6">
      <c r="E349" s="9"/>
      <c r="F349" s="9"/>
    </row>
    <row r="350" spans="5:6">
      <c r="E350" s="9"/>
      <c r="F350" s="9"/>
    </row>
    <row r="351" spans="5:6">
      <c r="E351" s="9"/>
      <c r="F351" s="9"/>
    </row>
    <row r="352" spans="5:6">
      <c r="E352" s="9"/>
      <c r="F352" s="9"/>
    </row>
    <row r="353" spans="5:6">
      <c r="E353" s="9"/>
      <c r="F353" s="9"/>
    </row>
    <row r="354" spans="5:6">
      <c r="E354" s="9"/>
      <c r="F354" s="9"/>
    </row>
    <row r="355" spans="5:6">
      <c r="E355" s="9"/>
      <c r="F355" s="9"/>
    </row>
    <row r="356" spans="5:6">
      <c r="E356" s="9"/>
      <c r="F356" s="9"/>
    </row>
    <row r="357" spans="5:6">
      <c r="E357" s="9"/>
      <c r="F357" s="9"/>
    </row>
    <row r="358" spans="5:6">
      <c r="E358" s="9"/>
      <c r="F358" s="9"/>
    </row>
    <row r="359" spans="5:6">
      <c r="E359" s="9"/>
      <c r="F359" s="9"/>
    </row>
    <row r="360" spans="5:6">
      <c r="E360" s="9"/>
      <c r="F360" s="9"/>
    </row>
    <row r="361" spans="5:6">
      <c r="E361" s="9"/>
      <c r="F361" s="9"/>
    </row>
    <row r="362" spans="5:6">
      <c r="E362" s="9"/>
      <c r="F362" s="9"/>
    </row>
    <row r="363" spans="5:6">
      <c r="E363" s="9"/>
      <c r="F363" s="9"/>
    </row>
    <row r="364" spans="5:6">
      <c r="E364" s="9"/>
      <c r="F364" s="9"/>
    </row>
    <row r="365" spans="5:6">
      <c r="E365" s="9"/>
      <c r="F365" s="9"/>
    </row>
    <row r="366" spans="5:6">
      <c r="E366" s="9"/>
      <c r="F366" s="9"/>
    </row>
    <row r="367" spans="5:6">
      <c r="E367" s="9"/>
      <c r="F367" s="9"/>
    </row>
    <row r="368" spans="5:6">
      <c r="E368" s="9"/>
      <c r="F368" s="9"/>
    </row>
    <row r="369" spans="5:6">
      <c r="E369" s="9"/>
      <c r="F369" s="9"/>
    </row>
    <row r="370" spans="5:6">
      <c r="E370" s="9"/>
      <c r="F370" s="9"/>
    </row>
    <row r="371" spans="5:6">
      <c r="E371" s="9"/>
      <c r="F371" s="9"/>
    </row>
    <row r="372" spans="5:6">
      <c r="E372" s="9"/>
      <c r="F372" s="9"/>
    </row>
    <row r="373" spans="5:6">
      <c r="E373" s="9"/>
      <c r="F373" s="9"/>
    </row>
    <row r="374" spans="5:6">
      <c r="E374" s="9"/>
      <c r="F374" s="9"/>
    </row>
    <row r="375" spans="5:6">
      <c r="E375" s="9"/>
      <c r="F375" s="9"/>
    </row>
    <row r="376" spans="5:6">
      <c r="E376" s="9"/>
      <c r="F376" s="9"/>
    </row>
    <row r="377" spans="5:6">
      <c r="E377" s="9"/>
      <c r="F377" s="9"/>
    </row>
    <row r="378" spans="5:6">
      <c r="E378" s="9"/>
      <c r="F378" s="9"/>
    </row>
    <row r="379" spans="5:6">
      <c r="E379" s="9"/>
      <c r="F379" s="9"/>
    </row>
    <row r="380" spans="5:6">
      <c r="E380" s="9"/>
      <c r="F380" s="9"/>
    </row>
    <row r="381" spans="5:6">
      <c r="E381" s="9"/>
      <c r="F381" s="9"/>
    </row>
    <row r="382" spans="5:6">
      <c r="E382" s="9"/>
      <c r="F382" s="9"/>
    </row>
    <row r="383" spans="5:6">
      <c r="E383" s="9"/>
      <c r="F383" s="9"/>
    </row>
    <row r="384" spans="5:6">
      <c r="E384" s="9"/>
      <c r="F384" s="9"/>
    </row>
    <row r="385" spans="5:6">
      <c r="E385" s="9"/>
      <c r="F385" s="9"/>
    </row>
    <row r="386" spans="5:6">
      <c r="E386" s="9"/>
      <c r="F386" s="9"/>
    </row>
    <row r="387" spans="5:6">
      <c r="E387" s="9"/>
      <c r="F387" s="9"/>
    </row>
    <row r="388" spans="5:6">
      <c r="E388" s="9"/>
      <c r="F388" s="9"/>
    </row>
    <row r="389" spans="5:6">
      <c r="E389" s="9"/>
      <c r="F389" s="9"/>
    </row>
    <row r="390" spans="5:6">
      <c r="E390" s="9"/>
      <c r="F390" s="9"/>
    </row>
    <row r="391" spans="5:6">
      <c r="E391" s="9"/>
      <c r="F391" s="9"/>
    </row>
    <row r="392" spans="5:6">
      <c r="E392" s="9"/>
      <c r="F392" s="9"/>
    </row>
    <row r="393" spans="5:6">
      <c r="E393" s="9"/>
      <c r="F393" s="9"/>
    </row>
    <row r="394" spans="5:6">
      <c r="E394" s="9"/>
      <c r="F394" s="9"/>
    </row>
    <row r="395" spans="5:6">
      <c r="E395" s="9"/>
      <c r="F395" s="9"/>
    </row>
    <row r="396" spans="5:6">
      <c r="E396" s="9"/>
      <c r="F396" s="9"/>
    </row>
    <row r="397" spans="5:6">
      <c r="E397" s="9"/>
      <c r="F397" s="9"/>
    </row>
    <row r="398" spans="5:6">
      <c r="E398" s="9"/>
      <c r="F398" s="9"/>
    </row>
    <row r="399" spans="5:6">
      <c r="E399" s="9"/>
      <c r="F399" s="9"/>
    </row>
    <row r="400" spans="5:6">
      <c r="E400" s="9"/>
      <c r="F400" s="9"/>
    </row>
    <row r="401" spans="5:6">
      <c r="E401" s="9"/>
      <c r="F401" s="9"/>
    </row>
    <row r="402" spans="5:6">
      <c r="E402" s="9"/>
      <c r="F402" s="9"/>
    </row>
    <row r="403" spans="5:6">
      <c r="E403" s="9"/>
      <c r="F403" s="9"/>
    </row>
    <row r="404" spans="5:6">
      <c r="E404" s="9"/>
      <c r="F404" s="9"/>
    </row>
    <row r="405" spans="5:6">
      <c r="E405" s="9"/>
      <c r="F405" s="9"/>
    </row>
    <row r="406" spans="5:6">
      <c r="E406" s="9"/>
      <c r="F406" s="9"/>
    </row>
    <row r="407" spans="5:6">
      <c r="E407" s="9"/>
      <c r="F407" s="9"/>
    </row>
    <row r="408" spans="5:6">
      <c r="E408" s="9"/>
      <c r="F408" s="9"/>
    </row>
    <row r="409" spans="5:6">
      <c r="E409" s="9"/>
      <c r="F409" s="9"/>
    </row>
    <row r="410" spans="5:6">
      <c r="E410" s="9"/>
      <c r="F410" s="9"/>
    </row>
    <row r="411" spans="5:6">
      <c r="E411" s="9"/>
      <c r="F411" s="9"/>
    </row>
    <row r="412" spans="5:6">
      <c r="E412" s="9"/>
      <c r="F412" s="9"/>
    </row>
    <row r="413" spans="5:6">
      <c r="E413" s="9"/>
      <c r="F413" s="9"/>
    </row>
    <row r="414" spans="5:6">
      <c r="E414" s="9"/>
      <c r="F414" s="9"/>
    </row>
    <row r="415" spans="5:6">
      <c r="E415" s="9"/>
      <c r="F415" s="9"/>
    </row>
    <row r="416" spans="5:6">
      <c r="E416" s="9"/>
      <c r="F416" s="9"/>
    </row>
    <row r="417" spans="5:6">
      <c r="E417" s="9"/>
      <c r="F417" s="9"/>
    </row>
    <row r="418" spans="5:6">
      <c r="E418" s="9"/>
      <c r="F418" s="9"/>
    </row>
    <row r="419" spans="5:6">
      <c r="E419" s="9"/>
      <c r="F419" s="9"/>
    </row>
    <row r="420" spans="5:6">
      <c r="E420" s="9"/>
      <c r="F420" s="9"/>
    </row>
    <row r="421" spans="5:6">
      <c r="E421" s="9"/>
      <c r="F421" s="9"/>
    </row>
    <row r="422" spans="5:6">
      <c r="E422" s="9"/>
      <c r="F422" s="9"/>
    </row>
    <row r="423" spans="5:6">
      <c r="E423" s="9"/>
      <c r="F423" s="9"/>
    </row>
    <row r="424" spans="5:6">
      <c r="E424" s="9"/>
      <c r="F424" s="9"/>
    </row>
    <row r="425" spans="5:6">
      <c r="E425" s="9"/>
      <c r="F425" s="9"/>
    </row>
    <row r="426" spans="5:6">
      <c r="E426" s="9"/>
      <c r="F426" s="9"/>
    </row>
    <row r="427" spans="5:6">
      <c r="E427" s="9"/>
      <c r="F427" s="9"/>
    </row>
    <row r="428" spans="5:6">
      <c r="E428" s="9"/>
      <c r="F428" s="9"/>
    </row>
    <row r="429" spans="5:6">
      <c r="E429" s="9"/>
      <c r="F429" s="9"/>
    </row>
    <row r="430" spans="5:6">
      <c r="E430" s="9"/>
      <c r="F430" s="9"/>
    </row>
    <row r="431" spans="5:6">
      <c r="E431" s="9"/>
      <c r="F431" s="9"/>
    </row>
    <row r="432" spans="5:6">
      <c r="E432" s="9"/>
      <c r="F432" s="9"/>
    </row>
  </sheetData>
  <autoFilter ref="A5:AY59"/>
  <customSheetViews>
    <customSheetView guid="{9E7D6C7B-D1D2-48A9-88F9-EE0B3178F899}" scale="75" showPageBreaks="1" printArea="1" view="pageBreakPreview" showRuler="0" topLeftCell="A13">
      <pane xSplit="1" ySplit="3" topLeftCell="B19" activePane="bottomRight" state="frozen"/>
      <selection pane="bottomRight" activeCell="E29" sqref="E29"/>
      <rowBreaks count="2" manualBreakCount="2">
        <brk id="58" max="5" man="1"/>
        <brk id="124" max="6" man="1"/>
      </rowBreaks>
      <pageMargins left="0.78740157480314965" right="0.26" top="0.39370078740157483" bottom="0.39370078740157483" header="0.51181102362204722" footer="0.51181102362204722"/>
      <pageSetup paperSize="9" scale="72" orientation="portrait" r:id="rId1"/>
      <headerFooter alignWithMargins="0"/>
    </customSheetView>
    <customSheetView guid="{220A40FA-5E40-4B56-945C-ECCF44F8C32E}" scale="75" showPageBreaks="1" view="pageBreakPreview" showRuler="0" topLeftCell="B10">
      <pane ySplit="6" topLeftCell="A52" activePane="bottomLeft" state="frozen"/>
      <selection pane="bottomLeft" activeCell="A12" sqref="A12:B12"/>
      <rowBreaks count="3" manualBreakCount="3">
        <brk id="59" max="9" man="1"/>
        <brk id="64" max="5" man="1"/>
        <brk id="132" max="9" man="1"/>
      </rowBreaks>
      <pageMargins left="0.78740157480314965" right="0.26" top="0.39370078740157483" bottom="0.39370078740157483" header="0.51181102362204722" footer="0.51181102362204722"/>
      <pageSetup paperSize="9" scale="74" orientation="portrait" r:id="rId2"/>
      <headerFooter alignWithMargins="0"/>
    </customSheetView>
    <customSheetView guid="{CF1F6A07-4C66-41AD-8D09-CAD43D061E52}" scale="75" showPageBreaks="1" view="pageBreakPreview" showRuler="0" topLeftCell="A13">
      <pane xSplit="1" ySplit="3" topLeftCell="B76" activePane="bottomRight" state="frozen"/>
      <selection pane="bottomRight" activeCell="G26" sqref="G26"/>
      <rowBreaks count="3" manualBreakCount="3">
        <brk id="47" max="16383" man="1"/>
        <brk id="106" max="9" man="1"/>
        <brk id="111" max="16383" man="1"/>
      </rowBreaks>
      <pageMargins left="0.78740157480314965" right="0.26" top="0.39370078740157483" bottom="0.39370078740157483" header="0.51181102362204722" footer="0.51181102362204722"/>
      <pageSetup paperSize="9" orientation="portrait" r:id="rId3"/>
      <headerFooter alignWithMargins="0"/>
    </customSheetView>
    <customSheetView guid="{7A4385F3-B58C-4991-AB9A-DA85C1BCDB97}" scale="75" showPageBreaks="1" view="pageBreakPreview" showRuler="0" topLeftCell="A13">
      <pane xSplit="0.90243902439024393" ySplit="3" topLeftCell="B46" activePane="bottomRight" state="frozen"/>
      <selection pane="bottomRight" activeCell="B53" sqref="B53"/>
      <rowBreaks count="2" manualBreakCount="2">
        <brk id="47" max="16383" man="1"/>
        <brk id="111" max="16383" man="1"/>
      </rowBreaks>
      <pageMargins left="0.78740157480314965" right="0.26" top="0.39370078740157483" bottom="0.39370078740157483" header="0.51181102362204722" footer="0.51181102362204722"/>
      <pageSetup paperSize="9" orientation="portrait" r:id="rId4"/>
      <headerFooter alignWithMargins="0"/>
    </customSheetView>
    <customSheetView guid="{1C9EE395-06A1-41D5-9B75-3DA9A451808D}" scale="75" showPageBreaks="1" printArea="1" view="pageBreakPreview" showRuler="0" topLeftCell="A13">
      <pane xSplit="0.91666666666666663" ySplit="3" topLeftCell="B19" activePane="bottomRight" state="frozen"/>
      <selection pane="bottomRight" activeCell="B134" sqref="B134"/>
      <rowBreaks count="4" manualBreakCount="4">
        <brk id="57" max="5" man="1"/>
        <brk id="58" max="5" man="1"/>
        <brk id="131" max="5" man="1"/>
        <brk id="132" max="5" man="1"/>
      </rowBreaks>
      <pageMargins left="0.78740157480314965" right="0.26" top="0.39370078740157483" bottom="0.39370078740157483" header="0.51181102362204722" footer="0.51181102362204722"/>
      <pageSetup paperSize="9" scale="85" orientation="portrait" r:id="rId5"/>
      <headerFooter alignWithMargins="0"/>
    </customSheetView>
    <customSheetView guid="{55A15CA5-C908-11D9-BCFF-00E04C0A8254}" scale="75" showPageBreaks="1" view="pageBreakPreview" showRuler="0" topLeftCell="A67">
      <selection activeCell="A72" sqref="A72"/>
      <rowBreaks count="2" manualBreakCount="2">
        <brk id="58" max="5" man="1"/>
        <brk id="122" max="5" man="1"/>
      </rowBreaks>
      <colBreaks count="1" manualBreakCount="1">
        <brk id="6" max="1048575" man="1"/>
      </colBreaks>
      <pageMargins left="0.78740157480314965" right="0.26" top="0.39370078740157483" bottom="0.39370078740157483" header="0.51181102362204722" footer="0.51181102362204722"/>
      <pageSetup paperSize="9" scale="75" orientation="portrait" r:id="rId6"/>
      <headerFooter alignWithMargins="0"/>
    </customSheetView>
    <customSheetView guid="{1CA30FA5-7361-11D8-8E7B-009027AEEA37}" scale="75" showPageBreaks="1" printArea="1" view="pageBreakPreview" showRuler="0">
      <selection activeCell="B19" sqref="B19:B20"/>
      <rowBreaks count="4" manualBreakCount="4">
        <brk id="47" max="16383" man="1"/>
        <brk id="100" max="5" man="1"/>
        <brk id="103" max="5" man="1"/>
        <brk id="111" max="16383" man="1"/>
      </rowBreaks>
      <colBreaks count="1" manualBreakCount="1">
        <brk id="6" max="1048575" man="1"/>
      </colBreaks>
      <pageMargins left="0.78740157480314965" right="0.26" top="0.39370078740157483" bottom="0.39370078740157483" header="0.51181102362204722" footer="0.51181102362204722"/>
      <pageSetup paperSize="9" scale="75" orientation="portrait" r:id="rId7"/>
      <headerFooter alignWithMargins="0"/>
    </customSheetView>
    <customSheetView guid="{20D34181-72C1-11D8-96EF-0080481CE252}" scale="75" showPageBreaks="1" view="pageBreakPreview" showRuler="0" topLeftCell="A40">
      <selection activeCell="A72" sqref="A72"/>
      <rowBreaks count="2" manualBreakCount="2">
        <brk id="58" max="5" man="1"/>
        <brk id="122" max="5" man="1"/>
      </rowBreaks>
      <colBreaks count="1" manualBreakCount="1">
        <brk id="6" max="1048575" man="1"/>
      </colBreaks>
      <pageMargins left="0.78740157480314965" right="0.26" top="0.39370078740157483" bottom="0.39370078740157483" header="0.51181102362204722" footer="0.51181102362204722"/>
      <pageSetup paperSize="9" scale="75" orientation="portrait" r:id="rId8"/>
      <headerFooter alignWithMargins="0"/>
    </customSheetView>
  </customSheetViews>
  <mergeCells count="14">
    <mergeCell ref="E37:E38"/>
    <mergeCell ref="B1:E2"/>
    <mergeCell ref="D37:D38"/>
    <mergeCell ref="G34:G35"/>
    <mergeCell ref="B3:L3"/>
    <mergeCell ref="D34:D35"/>
    <mergeCell ref="E34:E35"/>
    <mergeCell ref="K4:L4"/>
    <mergeCell ref="D50:D51"/>
    <mergeCell ref="D48:D49"/>
    <mergeCell ref="G48:G49"/>
    <mergeCell ref="G50:G51"/>
    <mergeCell ref="E48:E49"/>
    <mergeCell ref="E50:E51"/>
  </mergeCells>
  <phoneticPr fontId="0" type="noConversion"/>
  <pageMargins left="0.15748031496062992" right="0.24" top="0.27559055118110237" bottom="0.19685039370078741" header="0.27559055118110237" footer="0.15748031496062992"/>
  <pageSetup paperSize="9" scale="46" orientation="portrait" r:id="rId9"/>
  <headerFooter alignWithMargins="0"/>
  <rowBreaks count="1" manualBreakCount="1">
    <brk id="100" min="1" max="6" man="1"/>
  </rowBreaks>
  <drawing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3:E49"/>
  <sheetViews>
    <sheetView workbookViewId="0">
      <selection activeCell="B3" sqref="B3"/>
    </sheetView>
  </sheetViews>
  <sheetFormatPr defaultRowHeight="12.75"/>
  <cols>
    <col min="1" max="1" width="34.85546875" customWidth="1"/>
    <col min="2" max="2" width="14.28515625" customWidth="1"/>
    <col min="3" max="3" width="28.7109375" customWidth="1"/>
    <col min="4" max="4" width="16.5703125" customWidth="1"/>
    <col min="5" max="5" width="31.28515625" customWidth="1"/>
  </cols>
  <sheetData>
    <row r="3" spans="1:5">
      <c r="A3" s="353" t="s">
        <v>1313</v>
      </c>
      <c r="B3" t="s">
        <v>1318</v>
      </c>
      <c r="C3" t="s">
        <v>1322</v>
      </c>
      <c r="D3" t="s">
        <v>1320</v>
      </c>
      <c r="E3" t="s">
        <v>1323</v>
      </c>
    </row>
    <row r="4" spans="1:5">
      <c r="A4" s="354" t="s">
        <v>1164</v>
      </c>
      <c r="B4" s="355">
        <v>2093.04</v>
      </c>
      <c r="C4" s="355">
        <v>1883.7360000000001</v>
      </c>
      <c r="D4" s="355">
        <v>2616.3000000000002</v>
      </c>
      <c r="E4" s="355">
        <v>2223.855</v>
      </c>
    </row>
    <row r="5" spans="1:5">
      <c r="A5" s="354" t="s">
        <v>1165</v>
      </c>
      <c r="B5" s="355">
        <v>2003.28</v>
      </c>
      <c r="C5" s="355">
        <v>1802.952</v>
      </c>
      <c r="D5" s="355">
        <v>2504.1</v>
      </c>
      <c r="E5" s="355">
        <v>2128.4849999999997</v>
      </c>
    </row>
    <row r="6" spans="1:5">
      <c r="A6" s="354" t="s">
        <v>1166</v>
      </c>
      <c r="B6" s="355">
        <v>2200</v>
      </c>
      <c r="C6" s="355">
        <v>1980</v>
      </c>
      <c r="D6" s="355">
        <v>2750</v>
      </c>
      <c r="E6" s="355">
        <v>2337.5</v>
      </c>
    </row>
    <row r="7" spans="1:5">
      <c r="A7" s="354" t="s">
        <v>1167</v>
      </c>
      <c r="B7" s="355">
        <v>2284.8000000000002</v>
      </c>
      <c r="C7" s="355">
        <v>2056.3200000000002</v>
      </c>
      <c r="D7" s="355">
        <v>2856</v>
      </c>
      <c r="E7" s="355">
        <v>2427.6</v>
      </c>
    </row>
    <row r="8" spans="1:5">
      <c r="A8" s="354" t="s">
        <v>1168</v>
      </c>
      <c r="B8" s="355">
        <v>1950</v>
      </c>
      <c r="C8" s="355">
        <v>1755</v>
      </c>
      <c r="D8" s="355">
        <v>2437.5</v>
      </c>
      <c r="E8" s="355">
        <v>2071.875</v>
      </c>
    </row>
    <row r="9" spans="1:5">
      <c r="A9" s="354" t="s">
        <v>1220</v>
      </c>
      <c r="B9" s="355">
        <v>2500</v>
      </c>
      <c r="C9" s="355">
        <v>2250</v>
      </c>
      <c r="D9" s="355">
        <v>3125</v>
      </c>
      <c r="E9" s="355">
        <v>2656.25</v>
      </c>
    </row>
    <row r="10" spans="1:5">
      <c r="A10" s="354" t="s">
        <v>1267</v>
      </c>
      <c r="B10" s="355">
        <v>2380</v>
      </c>
      <c r="C10" s="355">
        <v>2142</v>
      </c>
      <c r="D10" s="355">
        <v>2975</v>
      </c>
      <c r="E10" s="355">
        <v>2528.75</v>
      </c>
    </row>
    <row r="11" spans="1:5">
      <c r="A11" s="354" t="s">
        <v>1169</v>
      </c>
      <c r="B11" s="355">
        <v>2252.16</v>
      </c>
      <c r="C11" s="355">
        <v>2026.944</v>
      </c>
      <c r="D11" s="355">
        <v>2815.2</v>
      </c>
      <c r="E11" s="355">
        <v>2392.9199999999996</v>
      </c>
    </row>
    <row r="12" spans="1:5">
      <c r="A12" s="354" t="s">
        <v>1170</v>
      </c>
      <c r="B12" s="355">
        <v>2258.2800000000002</v>
      </c>
      <c r="C12" s="355">
        <v>2032.4520000000002</v>
      </c>
      <c r="D12" s="355">
        <v>2822.8500000000004</v>
      </c>
      <c r="E12" s="355">
        <v>2399.4225000000001</v>
      </c>
    </row>
    <row r="13" spans="1:5">
      <c r="A13" s="354" t="s">
        <v>1171</v>
      </c>
      <c r="B13" s="355">
        <v>1880</v>
      </c>
      <c r="C13" s="355">
        <v>1692</v>
      </c>
      <c r="D13" s="355">
        <v>2350</v>
      </c>
      <c r="E13" s="355">
        <v>1997.5</v>
      </c>
    </row>
    <row r="14" spans="1:5">
      <c r="A14" s="354" t="s">
        <v>1172</v>
      </c>
      <c r="B14" s="355">
        <v>1946.16</v>
      </c>
      <c r="C14" s="355">
        <v>1751.5440000000001</v>
      </c>
      <c r="D14" s="355">
        <v>2432.7000000000003</v>
      </c>
      <c r="E14" s="355">
        <v>2067.7950000000001</v>
      </c>
    </row>
    <row r="15" spans="1:5">
      <c r="A15" s="354" t="s">
        <v>1174</v>
      </c>
      <c r="B15" s="355">
        <v>2044.24</v>
      </c>
      <c r="C15" s="355">
        <v>1839.8160000000003</v>
      </c>
      <c r="D15" s="355">
        <v>2555.3000000000002</v>
      </c>
      <c r="E15" s="355">
        <v>2172.0050000000001</v>
      </c>
    </row>
    <row r="16" spans="1:5">
      <c r="A16" s="354" t="s">
        <v>1175</v>
      </c>
      <c r="B16" s="355">
        <v>1860.48</v>
      </c>
      <c r="C16" s="355">
        <v>1674.432</v>
      </c>
      <c r="D16" s="355">
        <v>2325.6</v>
      </c>
      <c r="E16" s="355">
        <v>1976.7599999999998</v>
      </c>
    </row>
    <row r="17" spans="1:5">
      <c r="A17" s="354" t="s">
        <v>1299</v>
      </c>
      <c r="B17" s="355">
        <v>2264.4</v>
      </c>
      <c r="C17" s="355">
        <v>2037.96</v>
      </c>
      <c r="D17" s="355">
        <v>2830.5</v>
      </c>
      <c r="E17" s="355">
        <v>2405.9249999999997</v>
      </c>
    </row>
    <row r="18" spans="1:5">
      <c r="A18" s="354" t="s">
        <v>1177</v>
      </c>
      <c r="B18" s="355">
        <v>2116.5</v>
      </c>
      <c r="C18" s="355">
        <v>1904.8500000000001</v>
      </c>
      <c r="D18" s="355">
        <v>2645.625</v>
      </c>
      <c r="E18" s="355">
        <v>2248.78125</v>
      </c>
    </row>
    <row r="19" spans="1:5">
      <c r="A19" s="354" t="s">
        <v>1176</v>
      </c>
      <c r="B19" s="355">
        <v>2008.38</v>
      </c>
      <c r="C19" s="355">
        <v>1807.5420000000001</v>
      </c>
      <c r="D19" s="355">
        <v>2510.4750000000004</v>
      </c>
      <c r="E19" s="355">
        <v>2133.9037500000004</v>
      </c>
    </row>
    <row r="20" spans="1:5">
      <c r="A20" s="354" t="s">
        <v>1178</v>
      </c>
      <c r="B20" s="355">
        <v>2131.8000000000002</v>
      </c>
      <c r="C20" s="355">
        <v>1918.6200000000001</v>
      </c>
      <c r="D20" s="355">
        <v>2664.75</v>
      </c>
      <c r="E20" s="355">
        <v>2265.0374999999999</v>
      </c>
    </row>
    <row r="21" spans="1:5">
      <c r="A21" s="354" t="s">
        <v>1173</v>
      </c>
      <c r="B21" s="355">
        <v>3162</v>
      </c>
      <c r="C21" s="355">
        <v>2845.8</v>
      </c>
      <c r="D21" s="355">
        <v>3952.5</v>
      </c>
      <c r="E21" s="355">
        <v>3359.625</v>
      </c>
    </row>
    <row r="22" spans="1:5">
      <c r="A22" s="354" t="s">
        <v>1185</v>
      </c>
      <c r="B22" s="355">
        <v>3845.4</v>
      </c>
      <c r="C22" s="355">
        <v>3460.86</v>
      </c>
      <c r="D22" s="355">
        <v>4806.75</v>
      </c>
      <c r="E22" s="355">
        <v>4085.7374999999997</v>
      </c>
    </row>
    <row r="23" spans="1:5">
      <c r="A23" s="354" t="s">
        <v>1219</v>
      </c>
      <c r="B23" s="355">
        <v>3215.04</v>
      </c>
      <c r="C23" s="355">
        <v>2893.5360000000001</v>
      </c>
      <c r="D23" s="355">
        <v>4018.8</v>
      </c>
      <c r="E23" s="355">
        <v>3415.98</v>
      </c>
    </row>
    <row r="24" spans="1:5">
      <c r="A24" s="354" t="s">
        <v>1212</v>
      </c>
      <c r="B24" s="355">
        <v>1922.7</v>
      </c>
      <c r="C24" s="355">
        <v>1730.43</v>
      </c>
      <c r="D24" s="355">
        <v>2403.375</v>
      </c>
      <c r="E24" s="355">
        <v>2042.8687499999999</v>
      </c>
    </row>
    <row r="25" spans="1:5">
      <c r="A25" s="354" t="s">
        <v>1257</v>
      </c>
      <c r="B25" s="355">
        <v>2431.6799999999998</v>
      </c>
      <c r="C25" s="355">
        <v>2188.5119999999997</v>
      </c>
      <c r="D25" s="355">
        <v>3039.6</v>
      </c>
      <c r="E25" s="355">
        <v>2583.66</v>
      </c>
    </row>
    <row r="26" spans="1:5">
      <c r="A26" s="354" t="s">
        <v>1148</v>
      </c>
      <c r="B26" s="355">
        <v>2750</v>
      </c>
      <c r="C26" s="355">
        <v>2475</v>
      </c>
      <c r="D26" s="355">
        <v>3437.5</v>
      </c>
      <c r="E26" s="355">
        <v>2921.875</v>
      </c>
    </row>
    <row r="27" spans="1:5">
      <c r="A27" s="354" t="s">
        <v>1149</v>
      </c>
      <c r="B27" s="355">
        <v>2500</v>
      </c>
      <c r="C27" s="355">
        <v>2250</v>
      </c>
      <c r="D27" s="355">
        <v>3125</v>
      </c>
      <c r="E27" s="355">
        <v>2656.25</v>
      </c>
    </row>
    <row r="28" spans="1:5">
      <c r="A28" s="354" t="s">
        <v>1150</v>
      </c>
      <c r="B28" s="355">
        <v>5050</v>
      </c>
      <c r="C28" s="355">
        <v>4545</v>
      </c>
      <c r="D28" s="355">
        <v>6312.5</v>
      </c>
      <c r="E28" s="355">
        <v>5365.625</v>
      </c>
    </row>
    <row r="29" spans="1:5">
      <c r="A29" s="354" t="s">
        <v>1151</v>
      </c>
      <c r="B29" s="355">
        <v>5606.9400000000005</v>
      </c>
      <c r="C29" s="355">
        <v>5046.246000000001</v>
      </c>
      <c r="D29" s="355">
        <v>7008.6750000000011</v>
      </c>
      <c r="E29" s="355">
        <v>5957.3737500000007</v>
      </c>
    </row>
    <row r="30" spans="1:5">
      <c r="A30" s="354" t="s">
        <v>1152</v>
      </c>
      <c r="B30" s="355">
        <v>3942.3</v>
      </c>
      <c r="C30" s="355">
        <v>3548.07</v>
      </c>
      <c r="D30" s="355">
        <v>4927.875</v>
      </c>
      <c r="E30" s="355">
        <v>4188.6937499999995</v>
      </c>
    </row>
    <row r="31" spans="1:5">
      <c r="A31" s="354" t="s">
        <v>1153</v>
      </c>
      <c r="B31" s="355">
        <v>2580</v>
      </c>
      <c r="C31" s="355">
        <v>2322</v>
      </c>
      <c r="D31" s="355">
        <v>3225</v>
      </c>
      <c r="E31" s="355">
        <v>2741.25</v>
      </c>
    </row>
    <row r="32" spans="1:5">
      <c r="A32" s="354" t="s">
        <v>1154</v>
      </c>
      <c r="B32" s="355">
        <v>3020</v>
      </c>
      <c r="C32" s="355">
        <v>2718</v>
      </c>
      <c r="D32" s="355">
        <v>3775</v>
      </c>
      <c r="E32" s="355">
        <v>3208.75</v>
      </c>
    </row>
    <row r="33" spans="1:5">
      <c r="A33" s="354" t="s">
        <v>1155</v>
      </c>
      <c r="B33" s="355">
        <v>2869.26</v>
      </c>
      <c r="C33" s="355">
        <v>2582.3340000000003</v>
      </c>
      <c r="D33" s="355">
        <v>3586.5750000000003</v>
      </c>
      <c r="E33" s="355">
        <v>3048.5887500000003</v>
      </c>
    </row>
    <row r="34" spans="1:5">
      <c r="A34" s="354" t="s">
        <v>1156</v>
      </c>
      <c r="B34" s="355">
        <v>3074.28</v>
      </c>
      <c r="C34" s="355">
        <v>2766.8520000000003</v>
      </c>
      <c r="D34" s="355">
        <v>3842.8500000000004</v>
      </c>
      <c r="E34" s="355">
        <v>3266.4225000000001</v>
      </c>
    </row>
    <row r="35" spans="1:5">
      <c r="A35" s="354" t="s">
        <v>1157</v>
      </c>
      <c r="B35" s="355">
        <v>5950</v>
      </c>
      <c r="C35" s="355">
        <v>5355</v>
      </c>
      <c r="D35" s="355">
        <v>7437.5</v>
      </c>
      <c r="E35" s="355">
        <v>6321.875</v>
      </c>
    </row>
    <row r="36" spans="1:5">
      <c r="A36" s="354" t="s">
        <v>1158</v>
      </c>
      <c r="B36" s="355">
        <v>5889.4800000000005</v>
      </c>
      <c r="C36" s="355">
        <v>5300.5320000000002</v>
      </c>
      <c r="D36" s="355">
        <v>7361.85</v>
      </c>
      <c r="E36" s="355">
        <v>6257.5725000000002</v>
      </c>
    </row>
    <row r="37" spans="1:5">
      <c r="A37" s="354" t="s">
        <v>1159</v>
      </c>
      <c r="B37" s="355">
        <v>1801.32</v>
      </c>
      <c r="C37" s="355">
        <v>1621.1879999999999</v>
      </c>
      <c r="D37" s="355">
        <v>2251.65</v>
      </c>
      <c r="E37" s="355">
        <v>1913.9024999999999</v>
      </c>
    </row>
    <row r="38" spans="1:5">
      <c r="A38" s="354" t="s">
        <v>1160</v>
      </c>
      <c r="B38" s="355">
        <v>1534.08</v>
      </c>
      <c r="C38" s="355">
        <v>1380.672</v>
      </c>
      <c r="D38" s="355">
        <v>1917.6</v>
      </c>
      <c r="E38" s="355">
        <v>1629.9599999999998</v>
      </c>
    </row>
    <row r="39" spans="1:5">
      <c r="A39" s="354" t="s">
        <v>1162</v>
      </c>
      <c r="B39" s="355">
        <v>2491.86</v>
      </c>
      <c r="C39" s="355">
        <v>2242.674</v>
      </c>
      <c r="D39" s="355">
        <v>3114.8250000000003</v>
      </c>
      <c r="E39" s="355">
        <v>2647.6012500000002</v>
      </c>
    </row>
    <row r="40" spans="1:5">
      <c r="A40" s="354" t="s">
        <v>1161</v>
      </c>
      <c r="B40" s="355">
        <v>2416.38</v>
      </c>
      <c r="C40" s="355">
        <v>2174.7420000000002</v>
      </c>
      <c r="D40" s="355">
        <v>3020.4750000000004</v>
      </c>
      <c r="E40" s="355">
        <v>2567.4037500000004</v>
      </c>
    </row>
    <row r="41" spans="1:5">
      <c r="A41" s="354" t="s">
        <v>1163</v>
      </c>
      <c r="B41" s="355">
        <v>2419.44</v>
      </c>
      <c r="C41" s="355">
        <v>2177.4960000000001</v>
      </c>
      <c r="D41" s="355">
        <v>3024.3</v>
      </c>
      <c r="E41" s="355">
        <v>2570.6550000000002</v>
      </c>
    </row>
    <row r="42" spans="1:5">
      <c r="A42" s="354" t="s">
        <v>1222</v>
      </c>
      <c r="B42" s="355">
        <v>3267.06</v>
      </c>
      <c r="C42" s="355">
        <v>2940.3539999999998</v>
      </c>
      <c r="D42" s="355">
        <v>4083.8249999999998</v>
      </c>
      <c r="E42" s="355">
        <v>3471.2512499999998</v>
      </c>
    </row>
    <row r="43" spans="1:5">
      <c r="A43" s="354" t="s">
        <v>1314</v>
      </c>
      <c r="B43" s="355"/>
      <c r="C43" s="355"/>
      <c r="D43" s="355"/>
      <c r="E43" s="355"/>
    </row>
    <row r="44" spans="1:5">
      <c r="A44" s="354" t="s">
        <v>1324</v>
      </c>
      <c r="B44" s="355">
        <v>996</v>
      </c>
      <c r="C44" s="355" t="e">
        <v>#DIV/0!</v>
      </c>
      <c r="D44" s="355">
        <v>1250</v>
      </c>
      <c r="E44" s="355">
        <v>1063</v>
      </c>
    </row>
    <row r="45" spans="1:5">
      <c r="A45" s="354" t="s">
        <v>94</v>
      </c>
      <c r="B45" s="355">
        <v>141</v>
      </c>
      <c r="C45" s="355">
        <v>126.9</v>
      </c>
      <c r="D45" s="355">
        <v>176.25</v>
      </c>
      <c r="E45" s="355">
        <v>149.8125</v>
      </c>
    </row>
    <row r="46" spans="1:5">
      <c r="A46" s="354" t="s">
        <v>1333</v>
      </c>
      <c r="B46" s="355">
        <v>2550</v>
      </c>
      <c r="C46" s="355">
        <v>2295</v>
      </c>
      <c r="D46" s="355">
        <v>3187.5</v>
      </c>
      <c r="E46" s="355">
        <v>2709.375</v>
      </c>
    </row>
    <row r="47" spans="1:5">
      <c r="A47" s="354" t="s">
        <v>1358</v>
      </c>
      <c r="B47" s="355">
        <v>2990</v>
      </c>
      <c r="C47" s="355">
        <v>2691</v>
      </c>
      <c r="D47" s="355">
        <v>3737.5</v>
      </c>
      <c r="E47" s="355">
        <v>3176.875</v>
      </c>
    </row>
    <row r="48" spans="1:5">
      <c r="A48" s="354" t="s">
        <v>1412</v>
      </c>
      <c r="B48" s="355">
        <v>4845</v>
      </c>
      <c r="C48" s="355">
        <v>4360.5</v>
      </c>
      <c r="D48" s="355">
        <v>6056.25</v>
      </c>
      <c r="E48" s="355">
        <v>5147.8125</v>
      </c>
    </row>
    <row r="49" spans="1:5">
      <c r="A49" s="354" t="s">
        <v>1315</v>
      </c>
      <c r="B49" s="355">
        <v>2693.343404255319</v>
      </c>
      <c r="C49" s="355">
        <v>2457.2179565217398</v>
      </c>
      <c r="D49" s="355">
        <v>3366.7856382978725</v>
      </c>
      <c r="E49" s="355">
        <v>2861.7784308510636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E66"/>
  <sheetViews>
    <sheetView topLeftCell="A4" workbookViewId="0">
      <selection activeCell="J24" sqref="J24"/>
    </sheetView>
  </sheetViews>
  <sheetFormatPr defaultRowHeight="12.75"/>
  <cols>
    <col min="1" max="1" width="18.28515625" bestFit="1" customWidth="1"/>
    <col min="2" max="2" width="11" bestFit="1" customWidth="1"/>
    <col min="3" max="3" width="28.7109375" bestFit="1" customWidth="1"/>
    <col min="4" max="4" width="35.5703125" bestFit="1" customWidth="1"/>
    <col min="5" max="5" width="31.28515625" bestFit="1" customWidth="1"/>
    <col min="6" max="6" width="6" customWidth="1"/>
    <col min="7" max="9" width="5" customWidth="1"/>
    <col min="10" max="10" width="7" customWidth="1"/>
    <col min="11" max="11" width="5" customWidth="1"/>
    <col min="12" max="12" width="7" customWidth="1"/>
    <col min="13" max="14" width="5" customWidth="1"/>
    <col min="15" max="19" width="7" customWidth="1"/>
    <col min="20" max="20" width="5" customWidth="1"/>
    <col min="21" max="24" width="7" customWidth="1"/>
    <col min="25" max="25" width="5" customWidth="1"/>
    <col min="26" max="27" width="8" customWidth="1"/>
    <col min="28" max="28" width="6" customWidth="1"/>
    <col min="29" max="33" width="8" customWidth="1"/>
    <col min="34" max="35" width="6" customWidth="1"/>
    <col min="36" max="39" width="8" customWidth="1"/>
    <col min="40" max="40" width="6" customWidth="1"/>
    <col min="41" max="43" width="8" customWidth="1"/>
    <col min="44" max="44" width="6" customWidth="1"/>
    <col min="45" max="45" width="8" customWidth="1"/>
    <col min="46" max="46" width="6" customWidth="1"/>
    <col min="47" max="52" width="8" customWidth="1"/>
    <col min="53" max="53" width="6" customWidth="1"/>
    <col min="54" max="60" width="8" customWidth="1"/>
    <col min="61" max="61" width="11.42578125" bestFit="1" customWidth="1"/>
    <col min="62" max="62" width="7.28515625" customWidth="1"/>
    <col min="63" max="63" width="11.7109375" bestFit="1" customWidth="1"/>
  </cols>
  <sheetData>
    <row r="3" spans="1:5">
      <c r="A3" s="353" t="s">
        <v>1313</v>
      </c>
      <c r="B3" t="s">
        <v>1386</v>
      </c>
      <c r="C3" t="s">
        <v>1387</v>
      </c>
      <c r="D3" t="s">
        <v>1388</v>
      </c>
      <c r="E3" t="s">
        <v>1323</v>
      </c>
    </row>
    <row r="4" spans="1:5">
      <c r="A4" s="354" t="s">
        <v>1249</v>
      </c>
      <c r="B4" s="355">
        <v>4530</v>
      </c>
      <c r="C4" s="355">
        <v>4077</v>
      </c>
      <c r="D4" s="355">
        <v>5670</v>
      </c>
      <c r="E4" s="355">
        <v>4819</v>
      </c>
    </row>
    <row r="5" spans="1:5">
      <c r="A5" s="354" t="s">
        <v>696</v>
      </c>
      <c r="B5" s="355">
        <v>598</v>
      </c>
      <c r="C5" s="355">
        <v>538.20000000000005</v>
      </c>
      <c r="D5" s="355">
        <v>729.56</v>
      </c>
      <c r="E5" s="355">
        <v>620.12599999999998</v>
      </c>
    </row>
    <row r="6" spans="1:5">
      <c r="A6" s="354" t="s">
        <v>1206</v>
      </c>
      <c r="B6" s="355">
        <v>7730</v>
      </c>
      <c r="C6" s="355">
        <v>6957</v>
      </c>
      <c r="D6" s="355">
        <v>10430</v>
      </c>
      <c r="E6" s="355">
        <v>8865</v>
      </c>
    </row>
    <row r="7" spans="1:5">
      <c r="A7" s="354" t="s">
        <v>697</v>
      </c>
      <c r="B7" s="355">
        <v>754</v>
      </c>
      <c r="C7" s="355">
        <v>678.6</v>
      </c>
      <c r="D7" s="355">
        <v>919.88</v>
      </c>
      <c r="E7" s="355">
        <v>781.89800000000002</v>
      </c>
    </row>
    <row r="8" spans="1:5">
      <c r="A8" s="354" t="s">
        <v>481</v>
      </c>
      <c r="B8" s="355">
        <v>5055</v>
      </c>
      <c r="C8" s="355">
        <v>4549</v>
      </c>
      <c r="D8" s="355">
        <v>6320</v>
      </c>
      <c r="E8" s="355">
        <v>5372</v>
      </c>
    </row>
    <row r="9" spans="1:5">
      <c r="A9" s="354" t="s">
        <v>33</v>
      </c>
      <c r="B9" s="355">
        <v>962</v>
      </c>
      <c r="C9" s="355">
        <v>865.80000000000007</v>
      </c>
      <c r="D9" s="355">
        <v>1173.6399999999999</v>
      </c>
      <c r="E9" s="355">
        <v>997.59399999999982</v>
      </c>
    </row>
    <row r="10" spans="1:5">
      <c r="A10" s="354" t="s">
        <v>34</v>
      </c>
      <c r="B10" s="355">
        <v>1430</v>
      </c>
      <c r="C10" s="355">
        <v>1287</v>
      </c>
      <c r="D10" s="355">
        <v>1744.6</v>
      </c>
      <c r="E10" s="355">
        <v>1482.9099999999999</v>
      </c>
    </row>
    <row r="11" spans="1:5">
      <c r="A11" s="354" t="s">
        <v>562</v>
      </c>
      <c r="B11" s="355">
        <v>429</v>
      </c>
      <c r="C11" s="355">
        <v>386.1</v>
      </c>
      <c r="D11" s="355">
        <v>523.38</v>
      </c>
      <c r="E11" s="355">
        <v>444.87299999999999</v>
      </c>
    </row>
    <row r="12" spans="1:5">
      <c r="A12" s="354" t="s">
        <v>564</v>
      </c>
      <c r="B12" s="355">
        <v>10296</v>
      </c>
      <c r="C12" s="355">
        <v>9266.4</v>
      </c>
      <c r="D12" s="355">
        <v>12561.119999999999</v>
      </c>
      <c r="E12" s="355">
        <v>10676.951999999999</v>
      </c>
    </row>
    <row r="13" spans="1:5">
      <c r="A13" s="354" t="s">
        <v>1381</v>
      </c>
      <c r="B13" s="355">
        <v>2200</v>
      </c>
      <c r="C13" s="355" t="e">
        <v>#DIV/0!</v>
      </c>
      <c r="D13" s="355">
        <v>3200</v>
      </c>
      <c r="E13" s="355"/>
    </row>
    <row r="14" spans="1:5">
      <c r="A14" s="354" t="s">
        <v>699</v>
      </c>
      <c r="B14" s="355">
        <v>312</v>
      </c>
      <c r="C14" s="355">
        <v>280.8</v>
      </c>
      <c r="D14" s="355">
        <v>380.64</v>
      </c>
      <c r="E14" s="355">
        <v>323.54399999999998</v>
      </c>
    </row>
    <row r="15" spans="1:5">
      <c r="A15" s="354" t="s">
        <v>469</v>
      </c>
      <c r="B15" s="355">
        <v>8827</v>
      </c>
      <c r="C15" s="355">
        <v>7944.3</v>
      </c>
      <c r="D15" s="355">
        <v>10768.94</v>
      </c>
      <c r="E15" s="355">
        <v>9153.5990000000002</v>
      </c>
    </row>
    <row r="16" spans="1:5">
      <c r="A16" s="354" t="s">
        <v>701</v>
      </c>
      <c r="B16" s="355">
        <v>11180</v>
      </c>
      <c r="C16" s="355">
        <v>10062</v>
      </c>
      <c r="D16" s="355">
        <v>13639.6</v>
      </c>
      <c r="E16" s="355">
        <v>11593.66</v>
      </c>
    </row>
    <row r="17" spans="1:5">
      <c r="A17" s="354" t="s">
        <v>597</v>
      </c>
      <c r="B17" s="355">
        <v>14352</v>
      </c>
      <c r="C17" s="355">
        <v>12916.800000000001</v>
      </c>
      <c r="D17" s="355">
        <v>17509.439999999999</v>
      </c>
      <c r="E17" s="355">
        <v>14883.023999999998</v>
      </c>
    </row>
    <row r="18" spans="1:5">
      <c r="A18" s="354" t="s">
        <v>560</v>
      </c>
      <c r="B18" s="355">
        <v>7644</v>
      </c>
      <c r="C18" s="355">
        <v>6879.6</v>
      </c>
      <c r="D18" s="355">
        <v>9325.68</v>
      </c>
      <c r="E18" s="355">
        <v>7926.8280000000004</v>
      </c>
    </row>
    <row r="19" spans="1:5">
      <c r="A19" s="354" t="s">
        <v>601</v>
      </c>
      <c r="B19" s="355">
        <v>9334</v>
      </c>
      <c r="C19" s="355">
        <v>8400.6</v>
      </c>
      <c r="D19" s="355">
        <v>11387.48</v>
      </c>
      <c r="E19" s="355">
        <v>9679.3580000000002</v>
      </c>
    </row>
    <row r="20" spans="1:5">
      <c r="A20" s="354" t="s">
        <v>603</v>
      </c>
      <c r="B20" s="355">
        <v>15587</v>
      </c>
      <c r="C20" s="355">
        <v>14028.300000000001</v>
      </c>
      <c r="D20" s="355">
        <v>19016.14</v>
      </c>
      <c r="E20" s="355">
        <v>16163.718999999999</v>
      </c>
    </row>
    <row r="21" spans="1:5">
      <c r="A21" s="354" t="s">
        <v>604</v>
      </c>
      <c r="B21" s="355">
        <v>9900</v>
      </c>
      <c r="C21" s="355">
        <v>8910</v>
      </c>
      <c r="D21" s="355">
        <v>12900</v>
      </c>
      <c r="E21" s="355">
        <v>10965</v>
      </c>
    </row>
    <row r="22" spans="1:5">
      <c r="A22" s="354" t="s">
        <v>606</v>
      </c>
      <c r="B22" s="355">
        <v>15444</v>
      </c>
      <c r="C22" s="355">
        <v>13899.6</v>
      </c>
      <c r="D22" s="355">
        <v>18841.68</v>
      </c>
      <c r="E22" s="355">
        <v>16015.428</v>
      </c>
    </row>
    <row r="23" spans="1:5">
      <c r="A23" s="354" t="s">
        <v>704</v>
      </c>
      <c r="B23" s="355">
        <v>8892</v>
      </c>
      <c r="C23" s="355">
        <v>8002.8</v>
      </c>
      <c r="D23" s="355">
        <v>10848.24</v>
      </c>
      <c r="E23" s="355">
        <v>9221.003999999999</v>
      </c>
    </row>
    <row r="24" spans="1:5">
      <c r="A24" s="354" t="s">
        <v>612</v>
      </c>
      <c r="B24" s="355">
        <v>10127</v>
      </c>
      <c r="C24" s="355">
        <v>9114.3000000000011</v>
      </c>
      <c r="D24" s="355">
        <v>12354.94</v>
      </c>
      <c r="E24" s="355">
        <v>10501.699000000001</v>
      </c>
    </row>
    <row r="25" spans="1:5">
      <c r="A25" s="354" t="s">
        <v>1246</v>
      </c>
      <c r="B25" s="355">
        <v>8660</v>
      </c>
      <c r="C25" s="355">
        <v>7794</v>
      </c>
      <c r="D25" s="355">
        <v>10830</v>
      </c>
      <c r="E25" s="355">
        <v>9205</v>
      </c>
    </row>
    <row r="26" spans="1:5">
      <c r="A26" s="354" t="s">
        <v>616</v>
      </c>
      <c r="B26" s="355">
        <v>8730</v>
      </c>
      <c r="C26" s="355">
        <v>7863</v>
      </c>
      <c r="D26" s="355">
        <v>10910</v>
      </c>
      <c r="E26" s="355">
        <v>9276</v>
      </c>
    </row>
    <row r="27" spans="1:5">
      <c r="A27" s="354" t="s">
        <v>617</v>
      </c>
      <c r="B27" s="355">
        <v>9516</v>
      </c>
      <c r="C27" s="355">
        <v>8564.4</v>
      </c>
      <c r="D27" s="355">
        <v>11609.52</v>
      </c>
      <c r="E27" s="355">
        <v>9868.0920000000006</v>
      </c>
    </row>
    <row r="28" spans="1:5">
      <c r="A28" s="354" t="s">
        <v>706</v>
      </c>
      <c r="B28" s="355">
        <v>9165</v>
      </c>
      <c r="C28" s="355">
        <v>8248.5</v>
      </c>
      <c r="D28" s="355">
        <v>11181.3</v>
      </c>
      <c r="E28" s="355">
        <v>9504.1049999999996</v>
      </c>
    </row>
    <row r="29" spans="1:5">
      <c r="A29" s="354" t="s">
        <v>620</v>
      </c>
      <c r="B29" s="355">
        <v>10660</v>
      </c>
      <c r="C29" s="355">
        <v>9594</v>
      </c>
      <c r="D29" s="355">
        <v>13005.199999999999</v>
      </c>
      <c r="E29" s="355">
        <v>11054.419999999998</v>
      </c>
    </row>
    <row r="30" spans="1:5">
      <c r="A30" s="354" t="s">
        <v>622</v>
      </c>
      <c r="B30" s="355">
        <v>8268</v>
      </c>
      <c r="C30" s="355">
        <v>7441.2</v>
      </c>
      <c r="D30" s="355">
        <v>10086.959999999999</v>
      </c>
      <c r="E30" s="355">
        <v>8573.9159999999993</v>
      </c>
    </row>
    <row r="31" spans="1:5">
      <c r="A31" s="354" t="s">
        <v>623</v>
      </c>
      <c r="B31" s="355">
        <v>11856</v>
      </c>
      <c r="C31" s="355">
        <v>10670.4</v>
      </c>
      <c r="D31" s="355">
        <v>14464.32</v>
      </c>
      <c r="E31" s="355">
        <v>12294.671999999999</v>
      </c>
    </row>
    <row r="32" spans="1:5">
      <c r="A32" s="354" t="s">
        <v>807</v>
      </c>
      <c r="B32" s="355">
        <v>10621</v>
      </c>
      <c r="C32" s="355">
        <v>9558.9</v>
      </c>
      <c r="D32" s="355">
        <v>12957.619999999999</v>
      </c>
      <c r="E32" s="355">
        <v>11013.976999999999</v>
      </c>
    </row>
    <row r="33" spans="1:5">
      <c r="A33" s="354" t="s">
        <v>709</v>
      </c>
      <c r="B33" s="355">
        <v>11128</v>
      </c>
      <c r="C33" s="355">
        <v>10015.200000000001</v>
      </c>
      <c r="D33" s="355">
        <v>13576.16</v>
      </c>
      <c r="E33" s="355">
        <v>11539.735999999999</v>
      </c>
    </row>
    <row r="34" spans="1:5">
      <c r="A34" s="354" t="s">
        <v>710</v>
      </c>
      <c r="B34" s="355">
        <v>11115</v>
      </c>
      <c r="C34" s="355">
        <v>10003.5</v>
      </c>
      <c r="D34" s="355">
        <v>13560.3</v>
      </c>
      <c r="E34" s="355">
        <v>11526.254999999999</v>
      </c>
    </row>
    <row r="35" spans="1:5">
      <c r="A35" s="354" t="s">
        <v>479</v>
      </c>
      <c r="B35" s="355">
        <v>11388</v>
      </c>
      <c r="C35" s="355">
        <v>10249.200000000001</v>
      </c>
      <c r="D35" s="355">
        <v>13893.36</v>
      </c>
      <c r="E35" s="355">
        <v>11809.356</v>
      </c>
    </row>
    <row r="36" spans="1:5">
      <c r="A36" s="354" t="s">
        <v>812</v>
      </c>
      <c r="B36" s="355">
        <v>10244</v>
      </c>
      <c r="C36" s="355">
        <v>9219.6</v>
      </c>
      <c r="D36" s="355">
        <v>12497.68</v>
      </c>
      <c r="E36" s="355">
        <v>10623.028</v>
      </c>
    </row>
    <row r="37" spans="1:5">
      <c r="A37" s="354" t="s">
        <v>712</v>
      </c>
      <c r="B37" s="355">
        <v>12805</v>
      </c>
      <c r="C37" s="355">
        <v>11524.5</v>
      </c>
      <c r="D37" s="355">
        <v>15622.1</v>
      </c>
      <c r="E37" s="355">
        <v>13278.785</v>
      </c>
    </row>
    <row r="38" spans="1:5">
      <c r="A38" s="354" t="s">
        <v>713</v>
      </c>
      <c r="B38" s="355">
        <v>30277</v>
      </c>
      <c r="C38" s="355">
        <v>27249.3</v>
      </c>
      <c r="D38" s="355">
        <v>36937.94</v>
      </c>
      <c r="E38" s="355">
        <v>31397.249</v>
      </c>
    </row>
    <row r="39" spans="1:5">
      <c r="A39" s="354" t="s">
        <v>715</v>
      </c>
      <c r="B39" s="355">
        <v>14040</v>
      </c>
      <c r="C39" s="355">
        <v>12636</v>
      </c>
      <c r="D39" s="355">
        <v>17128.8</v>
      </c>
      <c r="E39" s="355">
        <v>14559.480000000001</v>
      </c>
    </row>
    <row r="40" spans="1:5">
      <c r="A40" s="354" t="s">
        <v>685</v>
      </c>
      <c r="B40" s="355">
        <v>13260</v>
      </c>
      <c r="C40" s="355">
        <v>11934</v>
      </c>
      <c r="D40" s="355">
        <v>16177.199999999999</v>
      </c>
      <c r="E40" s="355">
        <v>13750.619999999999</v>
      </c>
    </row>
    <row r="41" spans="1:5">
      <c r="A41" s="354" t="s">
        <v>672</v>
      </c>
      <c r="B41" s="355">
        <v>12025</v>
      </c>
      <c r="C41" s="355">
        <v>10822.5</v>
      </c>
      <c r="D41" s="355">
        <v>14670.5</v>
      </c>
      <c r="E41" s="355">
        <v>12469.924999999999</v>
      </c>
    </row>
    <row r="42" spans="1:5">
      <c r="A42" s="354" t="s">
        <v>626</v>
      </c>
      <c r="B42" s="355">
        <v>18707</v>
      </c>
      <c r="C42" s="355">
        <v>16836.3</v>
      </c>
      <c r="D42" s="355">
        <v>22822.54</v>
      </c>
      <c r="E42" s="355">
        <v>19399.159</v>
      </c>
    </row>
    <row r="43" spans="1:5">
      <c r="A43" s="354" t="s">
        <v>628</v>
      </c>
      <c r="B43" s="355">
        <v>15587</v>
      </c>
      <c r="C43" s="355">
        <v>14028.300000000001</v>
      </c>
      <c r="D43" s="355">
        <v>19016.14</v>
      </c>
      <c r="E43" s="355">
        <v>16163.718999999999</v>
      </c>
    </row>
    <row r="44" spans="1:5">
      <c r="A44" s="354" t="s">
        <v>673</v>
      </c>
      <c r="B44" s="355">
        <v>12623</v>
      </c>
      <c r="C44" s="355">
        <v>11360.7</v>
      </c>
      <c r="D44" s="355">
        <v>15400.06</v>
      </c>
      <c r="E44" s="355">
        <v>13090.050999999999</v>
      </c>
    </row>
    <row r="45" spans="1:5">
      <c r="A45" s="354" t="s">
        <v>1215</v>
      </c>
      <c r="B45" s="355">
        <v>19740</v>
      </c>
      <c r="C45" s="355">
        <v>17766</v>
      </c>
      <c r="D45" s="355">
        <v>26650</v>
      </c>
      <c r="E45" s="355">
        <v>22652</v>
      </c>
    </row>
    <row r="46" spans="1:5">
      <c r="A46" s="354" t="s">
        <v>676</v>
      </c>
      <c r="B46" s="355">
        <v>19513</v>
      </c>
      <c r="C46" s="355">
        <v>17561.7</v>
      </c>
      <c r="D46" s="355">
        <v>23805.86</v>
      </c>
      <c r="E46" s="355">
        <v>20234.981</v>
      </c>
    </row>
    <row r="47" spans="1:5">
      <c r="A47" s="354" t="s">
        <v>680</v>
      </c>
      <c r="B47" s="355">
        <v>24843</v>
      </c>
      <c r="C47" s="355">
        <v>22358.7</v>
      </c>
      <c r="D47" s="355">
        <v>30308.460000000003</v>
      </c>
      <c r="E47" s="355">
        <v>25762.191000000003</v>
      </c>
    </row>
    <row r="48" spans="1:5">
      <c r="A48" s="354" t="s">
        <v>1251</v>
      </c>
      <c r="B48" s="355">
        <v>17810</v>
      </c>
      <c r="C48" s="355">
        <v>16029</v>
      </c>
      <c r="D48" s="355">
        <v>22260</v>
      </c>
      <c r="E48" s="355">
        <v>25762.190999999999</v>
      </c>
    </row>
    <row r="49" spans="1:5">
      <c r="A49" s="354" t="s">
        <v>1211</v>
      </c>
      <c r="B49" s="355">
        <v>16870</v>
      </c>
      <c r="C49" s="355">
        <v>15183</v>
      </c>
      <c r="D49" s="355">
        <v>22770</v>
      </c>
      <c r="E49" s="355">
        <v>19354</v>
      </c>
    </row>
    <row r="50" spans="1:5">
      <c r="A50" s="354" t="s">
        <v>634</v>
      </c>
      <c r="B50" s="355">
        <v>28327</v>
      </c>
      <c r="C50" s="355">
        <v>25494.3</v>
      </c>
      <c r="D50" s="355">
        <v>34558.94</v>
      </c>
      <c r="E50" s="355">
        <v>29375.099000000002</v>
      </c>
    </row>
    <row r="51" spans="1:5">
      <c r="A51" s="354" t="s">
        <v>684</v>
      </c>
      <c r="B51" s="355">
        <v>22984</v>
      </c>
      <c r="C51" s="355">
        <v>20685.600000000002</v>
      </c>
      <c r="D51" s="355">
        <v>28040.48</v>
      </c>
      <c r="E51" s="355">
        <v>23834.407999999999</v>
      </c>
    </row>
    <row r="52" spans="1:5">
      <c r="A52" s="354" t="s">
        <v>637</v>
      </c>
      <c r="B52" s="355">
        <v>16991</v>
      </c>
      <c r="C52" s="355">
        <v>15291.9</v>
      </c>
      <c r="D52" s="355">
        <v>20729.02</v>
      </c>
      <c r="E52" s="355">
        <v>17619.667000000001</v>
      </c>
    </row>
    <row r="53" spans="1:5">
      <c r="A53" s="354" t="s">
        <v>638</v>
      </c>
      <c r="B53" s="355">
        <v>19019</v>
      </c>
      <c r="C53" s="355">
        <v>17117.100000000002</v>
      </c>
      <c r="D53" s="355">
        <v>23203.18</v>
      </c>
      <c r="E53" s="355">
        <v>19722.703000000001</v>
      </c>
    </row>
    <row r="54" spans="1:5">
      <c r="A54" s="354" t="s">
        <v>644</v>
      </c>
      <c r="B54" s="355">
        <v>21827</v>
      </c>
      <c r="C54" s="355">
        <v>19644.3</v>
      </c>
      <c r="D54" s="355">
        <v>26628.94</v>
      </c>
      <c r="E54" s="355">
        <v>22634.598999999998</v>
      </c>
    </row>
    <row r="55" spans="1:5">
      <c r="A55" s="354" t="s">
        <v>687</v>
      </c>
      <c r="B55" s="355">
        <v>29094</v>
      </c>
      <c r="C55" s="355">
        <v>26184.600000000002</v>
      </c>
      <c r="D55" s="355">
        <v>35494.68</v>
      </c>
      <c r="E55" s="355">
        <v>30170.477999999999</v>
      </c>
    </row>
    <row r="56" spans="1:5">
      <c r="A56" s="354" t="s">
        <v>688</v>
      </c>
      <c r="B56" s="355">
        <v>18642</v>
      </c>
      <c r="C56" s="355">
        <v>16777.8</v>
      </c>
      <c r="D56" s="355">
        <v>22743.239999999998</v>
      </c>
      <c r="E56" s="355">
        <v>19331.753999999997</v>
      </c>
    </row>
    <row r="57" spans="1:5">
      <c r="A57" s="354" t="s">
        <v>641</v>
      </c>
      <c r="B57" s="355">
        <v>17459</v>
      </c>
      <c r="C57" s="355">
        <v>15713.1</v>
      </c>
      <c r="D57" s="355">
        <v>21299.98</v>
      </c>
      <c r="E57" s="355">
        <v>18104.983</v>
      </c>
    </row>
    <row r="58" spans="1:5">
      <c r="A58" s="354" t="s">
        <v>692</v>
      </c>
      <c r="B58" s="355">
        <v>30524</v>
      </c>
      <c r="C58" s="355">
        <v>27471.600000000002</v>
      </c>
      <c r="D58" s="355">
        <v>37239.279999999999</v>
      </c>
      <c r="E58" s="355">
        <v>31653.387999999999</v>
      </c>
    </row>
    <row r="59" spans="1:5">
      <c r="A59" s="354" t="s">
        <v>825</v>
      </c>
      <c r="B59" s="355">
        <v>17797</v>
      </c>
      <c r="C59" s="355">
        <v>16017.300000000001</v>
      </c>
      <c r="D59" s="355">
        <v>21712.34</v>
      </c>
      <c r="E59" s="355">
        <v>18455.489000000001</v>
      </c>
    </row>
    <row r="60" spans="1:5">
      <c r="A60" s="354" t="s">
        <v>693</v>
      </c>
      <c r="B60" s="355">
        <v>19331</v>
      </c>
      <c r="C60" s="355">
        <v>17397.900000000001</v>
      </c>
      <c r="D60" s="355">
        <v>23583.82</v>
      </c>
      <c r="E60" s="355">
        <v>20046.246999999999</v>
      </c>
    </row>
    <row r="61" spans="1:5">
      <c r="A61" s="354" t="s">
        <v>1254</v>
      </c>
      <c r="B61" s="355">
        <v>18640</v>
      </c>
      <c r="C61" s="355">
        <v>16776</v>
      </c>
      <c r="D61" s="355">
        <v>23310</v>
      </c>
      <c r="E61" s="355">
        <v>19813</v>
      </c>
    </row>
    <row r="62" spans="1:5">
      <c r="A62" s="354" t="s">
        <v>642</v>
      </c>
      <c r="B62" s="355">
        <v>18187</v>
      </c>
      <c r="C62" s="355">
        <v>16368.300000000001</v>
      </c>
      <c r="D62" s="355">
        <v>22188.14</v>
      </c>
      <c r="E62" s="355">
        <v>18859.918999999998</v>
      </c>
    </row>
    <row r="63" spans="1:5">
      <c r="A63" s="354" t="s">
        <v>818</v>
      </c>
      <c r="B63" s="355">
        <v>15756</v>
      </c>
      <c r="C63" s="355">
        <v>14180.4</v>
      </c>
      <c r="D63" s="355">
        <v>19222.32</v>
      </c>
      <c r="E63" s="355">
        <v>16338.972</v>
      </c>
    </row>
    <row r="64" spans="1:5">
      <c r="A64" s="354" t="s">
        <v>694</v>
      </c>
      <c r="B64" s="355">
        <v>18902</v>
      </c>
      <c r="C64" s="355">
        <v>17011.8</v>
      </c>
      <c r="D64" s="355">
        <v>23060.44</v>
      </c>
      <c r="E64" s="355">
        <v>19601.374</v>
      </c>
    </row>
    <row r="65" spans="1:5">
      <c r="A65" s="354" t="s">
        <v>1314</v>
      </c>
      <c r="B65" s="355"/>
      <c r="C65" s="355"/>
      <c r="D65" s="355"/>
      <c r="E65" s="355"/>
    </row>
    <row r="66" spans="1:5">
      <c r="A66" s="354" t="s">
        <v>1315</v>
      </c>
      <c r="B66" s="355">
        <v>13473.135802469136</v>
      </c>
      <c r="C66" s="355">
        <v>12252.788750000002</v>
      </c>
      <c r="D66" s="355">
        <v>16572.01703703704</v>
      </c>
      <c r="E66" s="355">
        <v>14313.832050000003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T110"/>
  <sheetViews>
    <sheetView zoomScale="62" zoomScaleNormal="62"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K1" sqref="K1:K1048576"/>
    </sheetView>
  </sheetViews>
  <sheetFormatPr defaultRowHeight="12.75"/>
  <cols>
    <col min="1" max="1" width="1.28515625" customWidth="1"/>
    <col min="2" max="2" width="14.28515625" customWidth="1"/>
    <col min="3" max="3" width="12.5703125" customWidth="1"/>
    <col min="4" max="4" width="49.85546875" customWidth="1"/>
    <col min="5" max="5" width="19.5703125" customWidth="1"/>
    <col min="6" max="6" width="16.42578125" customWidth="1"/>
    <col min="7" max="7" width="14" customWidth="1"/>
    <col min="8" max="8" width="18.7109375" customWidth="1"/>
    <col min="9" max="9" width="21" customWidth="1"/>
    <col min="10" max="10" width="17.7109375" customWidth="1"/>
    <col min="11" max="11" width="19.5703125" customWidth="1"/>
    <col min="12" max="12" width="8.42578125" customWidth="1"/>
  </cols>
  <sheetData>
    <row r="1" spans="2:20" ht="54.75" customHeight="1">
      <c r="B1" s="365" t="s">
        <v>822</v>
      </c>
      <c r="C1" s="365"/>
      <c r="D1" s="365"/>
      <c r="E1" s="365"/>
      <c r="F1" s="333"/>
      <c r="G1" s="286"/>
      <c r="H1" s="287"/>
      <c r="I1" s="288"/>
      <c r="J1" s="286"/>
      <c r="K1" s="286"/>
      <c r="L1" s="289"/>
      <c r="M1" s="290"/>
      <c r="N1" s="213"/>
    </row>
    <row r="2" spans="2:20" ht="51" customHeight="1">
      <c r="B2" s="365"/>
      <c r="C2" s="365"/>
      <c r="D2" s="365"/>
      <c r="E2" s="365"/>
      <c r="F2" s="370"/>
      <c r="G2" s="60"/>
      <c r="H2" s="287"/>
      <c r="I2" s="291"/>
      <c r="J2" s="60"/>
      <c r="K2" s="60"/>
      <c r="L2" s="232"/>
      <c r="M2" s="221"/>
      <c r="N2" s="213"/>
      <c r="P2" s="291"/>
      <c r="Q2" s="291"/>
      <c r="R2" s="291"/>
      <c r="S2" s="291"/>
      <c r="T2" s="291"/>
    </row>
    <row r="3" spans="2:20" ht="33.75" customHeight="1" thickBot="1">
      <c r="B3" s="366" t="s">
        <v>1383</v>
      </c>
      <c r="N3" s="211"/>
      <c r="P3" s="291"/>
      <c r="Q3" s="291"/>
      <c r="R3" s="291"/>
      <c r="S3" s="291"/>
      <c r="T3" s="291"/>
    </row>
    <row r="4" spans="2:20" ht="35.25" thickBot="1">
      <c r="B4" s="207"/>
      <c r="C4" s="266"/>
      <c r="D4" s="369" t="s">
        <v>1384</v>
      </c>
      <c r="E4" s="368" t="s">
        <v>353</v>
      </c>
      <c r="F4" s="310" t="s">
        <v>1180</v>
      </c>
      <c r="G4" s="93" t="s">
        <v>145</v>
      </c>
      <c r="H4" s="93"/>
      <c r="I4" s="93"/>
      <c r="J4" s="882" t="s">
        <v>112</v>
      </c>
      <c r="K4" s="883"/>
      <c r="P4" s="291"/>
      <c r="Q4" s="291"/>
      <c r="R4" s="291"/>
      <c r="S4" s="291"/>
      <c r="T4" s="291"/>
    </row>
    <row r="5" spans="2:20" ht="48" thickBot="1">
      <c r="B5" s="207" t="s">
        <v>398</v>
      </c>
      <c r="C5" s="266" t="s">
        <v>91</v>
      </c>
      <c r="D5" s="371" t="s">
        <v>1385</v>
      </c>
      <c r="E5" s="367" t="s">
        <v>97</v>
      </c>
      <c r="F5" s="207" t="s">
        <v>1179</v>
      </c>
      <c r="G5" s="92" t="s">
        <v>401</v>
      </c>
      <c r="H5" s="92" t="s">
        <v>824</v>
      </c>
      <c r="I5" s="92" t="s">
        <v>399</v>
      </c>
      <c r="J5" s="325" t="s">
        <v>652</v>
      </c>
      <c r="K5" s="261" t="s">
        <v>113</v>
      </c>
      <c r="P5" s="291"/>
      <c r="Q5" s="291"/>
      <c r="R5" s="291"/>
      <c r="S5" s="291"/>
      <c r="T5" s="291"/>
    </row>
    <row r="6" spans="2:20" ht="15.75">
      <c r="B6" s="147"/>
      <c r="C6" s="147"/>
      <c r="D6" s="249" t="s">
        <v>253</v>
      </c>
      <c r="E6" s="158"/>
      <c r="F6" s="158"/>
      <c r="G6" s="148"/>
      <c r="H6" s="151"/>
      <c r="I6" s="148"/>
      <c r="J6" s="319"/>
      <c r="K6" s="260"/>
    </row>
    <row r="7" spans="2:20" ht="60">
      <c r="B7" s="207" t="s">
        <v>617</v>
      </c>
      <c r="C7" s="31" t="s">
        <v>96</v>
      </c>
      <c r="D7" s="238" t="s">
        <v>731</v>
      </c>
      <c r="E7" s="26" t="s">
        <v>618</v>
      </c>
      <c r="F7" s="311" t="str">
        <f>HYPERLINK("http://www.catalogue.bosal.com/pdf/pdf_mi/038041.pdf","@")</f>
        <v>@</v>
      </c>
      <c r="G7" s="138" t="s">
        <v>145</v>
      </c>
      <c r="H7" s="99" t="s">
        <v>619</v>
      </c>
      <c r="I7" s="99" t="s">
        <v>481</v>
      </c>
      <c r="J7" s="334">
        <v>9516</v>
      </c>
      <c r="K7" s="335">
        <v>11609.52</v>
      </c>
      <c r="Q7" s="291"/>
    </row>
    <row r="8" spans="2:20" ht="60">
      <c r="B8" s="207" t="s">
        <v>641</v>
      </c>
      <c r="C8" s="31" t="s">
        <v>547</v>
      </c>
      <c r="D8" s="238" t="s">
        <v>731</v>
      </c>
      <c r="E8" s="26" t="s">
        <v>618</v>
      </c>
      <c r="F8" s="311" t="str">
        <f>HYPERLINK("http://www.catalogue.bosal.com/pdf/pdf_mi/050523.pdf","@")</f>
        <v>@</v>
      </c>
      <c r="G8" s="138"/>
      <c r="H8" s="105" t="s">
        <v>619</v>
      </c>
      <c r="I8" s="105" t="s">
        <v>481</v>
      </c>
      <c r="J8" s="334">
        <v>17459</v>
      </c>
      <c r="K8" s="335">
        <v>21299.98</v>
      </c>
    </row>
    <row r="9" spans="2:20" ht="30">
      <c r="B9" s="207" t="s">
        <v>612</v>
      </c>
      <c r="C9" s="31" t="s">
        <v>96</v>
      </c>
      <c r="D9" s="238" t="s">
        <v>730</v>
      </c>
      <c r="E9" s="26" t="s">
        <v>613</v>
      </c>
      <c r="F9" s="311" t="str">
        <f>HYPERLINK("http://www.catalogue.bosal.com/pdf/pdf_mi/037351.pdf","@")</f>
        <v>@</v>
      </c>
      <c r="G9" s="93" t="s">
        <v>145</v>
      </c>
      <c r="H9" s="105" t="s">
        <v>614</v>
      </c>
      <c r="I9" s="105" t="s">
        <v>481</v>
      </c>
      <c r="J9" s="334">
        <v>10127</v>
      </c>
      <c r="K9" s="335">
        <v>12354.94</v>
      </c>
    </row>
    <row r="10" spans="2:20" ht="30">
      <c r="B10" s="207" t="s">
        <v>644</v>
      </c>
      <c r="C10" s="31" t="s">
        <v>547</v>
      </c>
      <c r="D10" s="238" t="s">
        <v>730</v>
      </c>
      <c r="E10" s="26" t="s">
        <v>613</v>
      </c>
      <c r="F10" s="311" t="str">
        <f>HYPERLINK("http://www.catalogue.bosal.com/pdf/pdf_mi/050323.pdf","@")</f>
        <v>@</v>
      </c>
      <c r="G10" s="93" t="s">
        <v>145</v>
      </c>
      <c r="H10" s="105" t="s">
        <v>640</v>
      </c>
      <c r="I10" s="105" t="s">
        <v>481</v>
      </c>
      <c r="J10" s="334">
        <v>21827</v>
      </c>
      <c r="K10" s="335">
        <v>26628.94</v>
      </c>
    </row>
    <row r="11" spans="2:20" ht="30">
      <c r="B11" s="207" t="s">
        <v>597</v>
      </c>
      <c r="C11" s="31" t="s">
        <v>96</v>
      </c>
      <c r="D11" s="238" t="s">
        <v>729</v>
      </c>
      <c r="E11" s="26" t="s">
        <v>598</v>
      </c>
      <c r="F11" s="311" t="str">
        <f>HYPERLINK("http://www.catalogue.bosal.com/pdf/pdf_mi/029741.pdf","@")</f>
        <v>@</v>
      </c>
      <c r="G11" s="93" t="s">
        <v>145</v>
      </c>
      <c r="H11" s="105" t="s">
        <v>48</v>
      </c>
      <c r="I11" s="105" t="s">
        <v>481</v>
      </c>
      <c r="J11" s="334">
        <v>14352</v>
      </c>
      <c r="K11" s="335">
        <v>17509.439999999999</v>
      </c>
    </row>
    <row r="12" spans="2:20" ht="23.25">
      <c r="B12" s="147"/>
      <c r="C12" s="147"/>
      <c r="D12" s="237" t="s">
        <v>105</v>
      </c>
      <c r="E12" s="158"/>
      <c r="F12" s="158"/>
      <c r="G12" s="159"/>
      <c r="H12" s="160"/>
      <c r="I12" s="161"/>
      <c r="J12" s="321"/>
      <c r="K12" s="326"/>
    </row>
    <row r="13" spans="2:20" ht="27">
      <c r="B13" s="207" t="s">
        <v>688</v>
      </c>
      <c r="C13" s="31" t="s">
        <v>681</v>
      </c>
      <c r="D13" s="238" t="s">
        <v>689</v>
      </c>
      <c r="E13" s="26" t="s">
        <v>368</v>
      </c>
      <c r="F13" s="311" t="str">
        <f>HYPERLINK("http://www.catalogue.bosal.com/pdf/pdf_mi/050513.pdf","@")</f>
        <v>@</v>
      </c>
      <c r="G13" s="93" t="s">
        <v>145</v>
      </c>
      <c r="H13" s="105" t="s">
        <v>690</v>
      </c>
      <c r="I13" s="105" t="s">
        <v>481</v>
      </c>
      <c r="J13" s="334">
        <v>18642</v>
      </c>
      <c r="K13" s="335">
        <v>22743.239999999998</v>
      </c>
    </row>
    <row r="14" spans="2:20" ht="27">
      <c r="B14" s="207" t="s">
        <v>685</v>
      </c>
      <c r="C14" s="31" t="s">
        <v>96</v>
      </c>
      <c r="D14" s="246" t="s">
        <v>686</v>
      </c>
      <c r="E14" s="26" t="s">
        <v>732</v>
      </c>
      <c r="F14" s="311" t="str">
        <f>HYPERLINK("http://www.catalogue.bosal.com/pdf/pdf_mi/044191.pdf","@")</f>
        <v>@</v>
      </c>
      <c r="G14" s="93" t="s">
        <v>145</v>
      </c>
      <c r="H14" s="105" t="s">
        <v>602</v>
      </c>
      <c r="I14" s="105" t="s">
        <v>481</v>
      </c>
      <c r="J14" s="334">
        <v>13260</v>
      </c>
      <c r="K14" s="335">
        <v>16177.199999999999</v>
      </c>
    </row>
    <row r="15" spans="2:20" ht="30">
      <c r="B15" s="207" t="s">
        <v>687</v>
      </c>
      <c r="C15" s="31" t="s">
        <v>681</v>
      </c>
      <c r="D15" s="246" t="s">
        <v>727</v>
      </c>
      <c r="E15" s="26" t="s">
        <v>728</v>
      </c>
      <c r="F15" s="311" t="str">
        <f>HYPERLINK("http://www.catalogue.bosal.com/pdf/pdf_mi/050473.pdf","@")</f>
        <v>@</v>
      </c>
      <c r="G15" s="138"/>
      <c r="H15" s="105" t="s">
        <v>602</v>
      </c>
      <c r="I15" s="105" t="s">
        <v>481</v>
      </c>
      <c r="J15" s="334">
        <v>29094</v>
      </c>
      <c r="K15" s="335">
        <v>35494.68</v>
      </c>
    </row>
    <row r="16" spans="2:20" ht="27">
      <c r="B16" s="207" t="s">
        <v>1215</v>
      </c>
      <c r="C16" s="31" t="s">
        <v>681</v>
      </c>
      <c r="D16" s="246" t="s">
        <v>1216</v>
      </c>
      <c r="E16" s="26" t="s">
        <v>140</v>
      </c>
      <c r="F16" s="342" t="str">
        <f>HYPERLINK("http://www.catalogue.bosal.com/pdf/pdf_mi/048043.pdf","@")</f>
        <v>@</v>
      </c>
      <c r="G16" s="138"/>
      <c r="H16" s="105" t="s">
        <v>1217</v>
      </c>
      <c r="I16" s="105" t="s">
        <v>481</v>
      </c>
      <c r="J16" s="334">
        <v>19740</v>
      </c>
      <c r="K16" s="335">
        <v>26650</v>
      </c>
    </row>
    <row r="17" spans="2:11" ht="23.25">
      <c r="B17" s="147"/>
      <c r="C17" s="148"/>
      <c r="D17" s="237" t="s">
        <v>254</v>
      </c>
      <c r="E17" s="158"/>
      <c r="F17" s="267"/>
      <c r="G17" s="163"/>
      <c r="H17" s="164"/>
      <c r="I17" s="165"/>
      <c r="J17" s="322"/>
      <c r="K17" s="326"/>
    </row>
    <row r="18" spans="2:11" ht="39.75" customHeight="1">
      <c r="B18" s="226" t="s">
        <v>825</v>
      </c>
      <c r="C18" s="226" t="s">
        <v>547</v>
      </c>
      <c r="D18" s="239" t="s">
        <v>1200</v>
      </c>
      <c r="E18" s="227" t="s">
        <v>733</v>
      </c>
      <c r="F18" s="311" t="str">
        <f>HYPERLINK("http://www.catalogue.bosal.com/pdf/pdf_mi/050573.pdf","@")</f>
        <v>@</v>
      </c>
      <c r="G18" s="93" t="s">
        <v>145</v>
      </c>
      <c r="H18" s="227" t="s">
        <v>148</v>
      </c>
      <c r="I18" s="197" t="s">
        <v>481</v>
      </c>
      <c r="J18" s="334">
        <v>17797</v>
      </c>
      <c r="K18" s="335">
        <v>21712.34</v>
      </c>
    </row>
    <row r="19" spans="2:11" ht="27">
      <c r="B19" s="181"/>
      <c r="C19" s="182"/>
      <c r="D19" s="242" t="s">
        <v>116</v>
      </c>
      <c r="E19" s="183"/>
      <c r="F19" s="313"/>
      <c r="G19" s="184"/>
      <c r="H19" s="185"/>
      <c r="I19" s="160"/>
      <c r="J19" s="323"/>
      <c r="K19" s="326"/>
    </row>
    <row r="20" spans="2:11" ht="45.75" customHeight="1">
      <c r="B20" s="207" t="s">
        <v>680</v>
      </c>
      <c r="C20" s="31" t="s">
        <v>681</v>
      </c>
      <c r="D20" s="45" t="s">
        <v>683</v>
      </c>
      <c r="E20" s="26">
        <v>2007</v>
      </c>
      <c r="F20" s="311" t="str">
        <f>HYPERLINK("http://www.catalogue.bosal.com/pdf/pdf_mi/048983.pdf","@")</f>
        <v>@</v>
      </c>
      <c r="G20" s="138" t="s">
        <v>145</v>
      </c>
      <c r="H20" s="105" t="s">
        <v>682</v>
      </c>
      <c r="I20" s="105" t="s">
        <v>481</v>
      </c>
      <c r="J20" s="334">
        <v>24843</v>
      </c>
      <c r="K20" s="335">
        <v>30308.46</v>
      </c>
    </row>
    <row r="21" spans="2:11" ht="48.75" customHeight="1">
      <c r="B21" s="80" t="s">
        <v>715</v>
      </c>
      <c r="C21" s="31" t="s">
        <v>92</v>
      </c>
      <c r="D21" s="243" t="s">
        <v>1188</v>
      </c>
      <c r="E21" s="77" t="s">
        <v>109</v>
      </c>
      <c r="F21" s="311" t="str">
        <f>HYPERLINK("http://www.catalogue.bosal.com/pdf/pdf_mi/043252.pdf","@")</f>
        <v>@</v>
      </c>
      <c r="G21" s="138" t="s">
        <v>145</v>
      </c>
      <c r="H21" s="195" t="s">
        <v>248</v>
      </c>
      <c r="I21" s="195" t="s">
        <v>481</v>
      </c>
      <c r="J21" s="334">
        <v>14040</v>
      </c>
      <c r="K21" s="335">
        <v>17128.8</v>
      </c>
    </row>
    <row r="22" spans="2:11" ht="48.75" customHeight="1">
      <c r="B22" s="80" t="s">
        <v>604</v>
      </c>
      <c r="C22" s="31" t="s">
        <v>92</v>
      </c>
      <c r="D22" s="243" t="s">
        <v>1235</v>
      </c>
      <c r="E22" s="77" t="s">
        <v>109</v>
      </c>
      <c r="F22" s="338" t="str">
        <f>HYPERLINK("http://www.catalogue.bosal.com/pdf/pdf_mi/034962.pdf","@")</f>
        <v>@</v>
      </c>
      <c r="G22" s="138"/>
      <c r="H22" s="195" t="s">
        <v>605</v>
      </c>
      <c r="I22" s="195" t="s">
        <v>481</v>
      </c>
      <c r="J22" s="334">
        <v>9900</v>
      </c>
      <c r="K22" s="335">
        <v>12900</v>
      </c>
    </row>
    <row r="23" spans="2:11" ht="27">
      <c r="B23" s="147"/>
      <c r="C23" s="148"/>
      <c r="D23" s="237" t="s">
        <v>269</v>
      </c>
      <c r="E23" s="158"/>
      <c r="F23" s="313"/>
      <c r="G23" s="159"/>
      <c r="H23" s="160"/>
      <c r="I23" s="161"/>
      <c r="J23" s="324"/>
      <c r="K23" s="326"/>
    </row>
    <row r="24" spans="2:11" ht="54.75" customHeight="1">
      <c r="B24" s="80" t="s">
        <v>715</v>
      </c>
      <c r="C24" s="31" t="s">
        <v>92</v>
      </c>
      <c r="D24" s="243" t="s">
        <v>1189</v>
      </c>
      <c r="E24" s="77" t="s">
        <v>109</v>
      </c>
      <c r="F24" s="311" t="str">
        <f>HYPERLINK("http://www.catalogue.bosal.com/pdf/pdf_mi/043252.pdf","@")</f>
        <v>@</v>
      </c>
      <c r="G24" s="93" t="s">
        <v>145</v>
      </c>
      <c r="H24" s="107" t="s">
        <v>248</v>
      </c>
      <c r="I24" s="107" t="s">
        <v>481</v>
      </c>
      <c r="J24" s="334">
        <v>14040</v>
      </c>
      <c r="K24" s="335">
        <v>17128.8</v>
      </c>
    </row>
    <row r="25" spans="2:11" ht="54.75" customHeight="1">
      <c r="B25" s="80" t="s">
        <v>604</v>
      </c>
      <c r="C25" s="31" t="s">
        <v>92</v>
      </c>
      <c r="D25" s="243" t="s">
        <v>1236</v>
      </c>
      <c r="E25" s="77" t="s">
        <v>109</v>
      </c>
      <c r="F25" s="311" t="str">
        <f>HYPERLINK("http://www.catalogue.bosal.com/pdf/pdf_mi/034962.pdf","@")</f>
        <v>@</v>
      </c>
      <c r="G25" s="93"/>
      <c r="H25" s="107" t="s">
        <v>605</v>
      </c>
      <c r="I25" s="107" t="s">
        <v>481</v>
      </c>
      <c r="J25" s="334">
        <v>9900</v>
      </c>
      <c r="K25" s="335">
        <v>12900</v>
      </c>
    </row>
    <row r="26" spans="2:11" ht="27">
      <c r="B26" s="147"/>
      <c r="C26" s="148"/>
      <c r="D26" s="237" t="s">
        <v>271</v>
      </c>
      <c r="E26" s="158"/>
      <c r="F26" s="313"/>
      <c r="G26" s="159"/>
      <c r="H26" s="160"/>
      <c r="I26" s="161"/>
      <c r="J26" s="324"/>
      <c r="K26" s="326"/>
    </row>
    <row r="27" spans="2:11" ht="27">
      <c r="B27" s="207" t="s">
        <v>623</v>
      </c>
      <c r="C27" s="31" t="s">
        <v>96</v>
      </c>
      <c r="D27" s="238" t="s">
        <v>624</v>
      </c>
      <c r="E27" s="26" t="s">
        <v>549</v>
      </c>
      <c r="F27" s="311" t="str">
        <f>HYPERLINK("http://www.catalogue.bosal.com/pdf/pdf_mi/038961.pdf","@")</f>
        <v>@</v>
      </c>
      <c r="G27" s="279"/>
      <c r="H27" s="105" t="s">
        <v>625</v>
      </c>
      <c r="I27" s="105" t="s">
        <v>481</v>
      </c>
      <c r="J27" s="334">
        <v>11856</v>
      </c>
      <c r="K27" s="335">
        <v>14464.32</v>
      </c>
    </row>
    <row r="28" spans="2:11" ht="27">
      <c r="B28" s="207" t="s">
        <v>693</v>
      </c>
      <c r="C28" s="31" t="s">
        <v>547</v>
      </c>
      <c r="D28" s="238" t="s">
        <v>624</v>
      </c>
      <c r="E28" s="26" t="s">
        <v>549</v>
      </c>
      <c r="F28" s="311" t="str">
        <f>HYPERLINK("http://www.catalogue.bosal.com/pdf/pdf_mi/050583.pdf","@")</f>
        <v>@</v>
      </c>
      <c r="G28" s="96"/>
      <c r="H28" s="105" t="s">
        <v>625</v>
      </c>
      <c r="I28" s="105" t="s">
        <v>481</v>
      </c>
      <c r="J28" s="334">
        <v>19331</v>
      </c>
      <c r="K28" s="335">
        <v>23583.82</v>
      </c>
    </row>
    <row r="29" spans="2:11" ht="27">
      <c r="B29" s="147"/>
      <c r="C29" s="148"/>
      <c r="D29" s="237" t="s">
        <v>277</v>
      </c>
      <c r="E29" s="158"/>
      <c r="F29" s="313"/>
      <c r="G29" s="159"/>
      <c r="H29" s="160"/>
      <c r="I29" s="161"/>
      <c r="J29" s="324"/>
      <c r="K29" s="326"/>
    </row>
    <row r="30" spans="2:11" ht="27">
      <c r="B30" s="207" t="s">
        <v>1211</v>
      </c>
      <c r="C30" s="31" t="s">
        <v>547</v>
      </c>
      <c r="D30" s="238" t="s">
        <v>1210</v>
      </c>
      <c r="E30" s="26" t="s">
        <v>549</v>
      </c>
      <c r="F30" s="338" t="str">
        <f>HYPERLINK("http://www.catalogue.bosal.com/pdf/pdf_mi/049483.pdf","@")</f>
        <v>@</v>
      </c>
      <c r="G30" s="281" t="s">
        <v>145</v>
      </c>
      <c r="H30" s="103" t="s">
        <v>161</v>
      </c>
      <c r="I30" s="110" t="s">
        <v>481</v>
      </c>
      <c r="J30" s="320">
        <v>16870</v>
      </c>
      <c r="K30" s="259">
        <v>22770</v>
      </c>
    </row>
    <row r="31" spans="2:11" ht="27">
      <c r="B31" s="147"/>
      <c r="C31" s="148"/>
      <c r="D31" s="237" t="s">
        <v>280</v>
      </c>
      <c r="E31" s="158"/>
      <c r="F31" s="313"/>
      <c r="G31" s="159"/>
      <c r="H31" s="160"/>
      <c r="I31" s="161"/>
      <c r="J31" s="324"/>
      <c r="K31" s="326"/>
    </row>
    <row r="32" spans="2:11" ht="30">
      <c r="B32" s="207" t="s">
        <v>616</v>
      </c>
      <c r="C32" s="31" t="s">
        <v>96</v>
      </c>
      <c r="D32" s="238" t="s">
        <v>1199</v>
      </c>
      <c r="E32" s="26" t="s">
        <v>437</v>
      </c>
      <c r="F32" s="311" t="str">
        <f>HYPERLINK("http://www.catalogue.bosal.com/pdf/pdf_mi/037981.pdf","@")</f>
        <v>@</v>
      </c>
      <c r="G32" s="281" t="s">
        <v>145</v>
      </c>
      <c r="H32" s="103" t="s">
        <v>151</v>
      </c>
      <c r="I32" s="110"/>
      <c r="J32" s="320">
        <v>8730</v>
      </c>
      <c r="K32" s="259">
        <v>10910</v>
      </c>
    </row>
    <row r="33" spans="2:11" ht="22.5">
      <c r="B33" s="207" t="s">
        <v>1246</v>
      </c>
      <c r="C33" s="31" t="s">
        <v>96</v>
      </c>
      <c r="D33" s="238" t="s">
        <v>1247</v>
      </c>
      <c r="E33" s="26" t="s">
        <v>435</v>
      </c>
      <c r="F33" s="344" t="str">
        <f>HYPERLINK("http://www.catalogue.bosal.com/pdf/pdf_mi/037881.pdf","@")</f>
        <v>@</v>
      </c>
      <c r="G33" s="281" t="s">
        <v>145</v>
      </c>
      <c r="H33" s="103" t="s">
        <v>1248</v>
      </c>
      <c r="I33" s="110"/>
      <c r="J33" s="320">
        <v>8660</v>
      </c>
      <c r="K33" s="259">
        <v>10830</v>
      </c>
    </row>
    <row r="34" spans="2:11" ht="27">
      <c r="B34" s="207" t="s">
        <v>701</v>
      </c>
      <c r="C34" s="31" t="s">
        <v>96</v>
      </c>
      <c r="D34" s="238" t="s">
        <v>702</v>
      </c>
      <c r="E34" s="26" t="s">
        <v>368</v>
      </c>
      <c r="F34" s="311" t="str">
        <f>HYPERLINK("http://www.catalogue.bosal.com/pdf/pdf_mi/029441.pdf","@")</f>
        <v>@</v>
      </c>
      <c r="G34" s="199" t="s">
        <v>145</v>
      </c>
      <c r="H34" s="105" t="s">
        <v>678</v>
      </c>
      <c r="I34" s="105"/>
      <c r="J34" s="334">
        <v>11180</v>
      </c>
      <c r="K34" s="335">
        <v>13639.6</v>
      </c>
    </row>
    <row r="35" spans="2:11" ht="27">
      <c r="B35" s="207" t="s">
        <v>676</v>
      </c>
      <c r="C35" s="31" t="s">
        <v>677</v>
      </c>
      <c r="D35" s="238" t="s">
        <v>702</v>
      </c>
      <c r="E35" s="26" t="s">
        <v>368</v>
      </c>
      <c r="F35" s="311" t="str">
        <f>HYPERLINK("http://www.catalogue.bosal.com/pdf/pdf_mi/048343.pdf","@")</f>
        <v>@</v>
      </c>
      <c r="G35" s="282" t="s">
        <v>145</v>
      </c>
      <c r="H35" s="105" t="s">
        <v>678</v>
      </c>
      <c r="I35" s="105"/>
      <c r="J35" s="334">
        <v>19513</v>
      </c>
      <c r="K35" s="335">
        <v>23805.86</v>
      </c>
    </row>
    <row r="36" spans="2:11" ht="27">
      <c r="B36" s="207" t="s">
        <v>673</v>
      </c>
      <c r="C36" s="31" t="s">
        <v>96</v>
      </c>
      <c r="D36" s="238" t="s">
        <v>674</v>
      </c>
      <c r="E36" s="26" t="s">
        <v>486</v>
      </c>
      <c r="F36" s="311" t="str">
        <f>HYPERLINK("http://www.catalogue.bosal.com/pdf/pdf_mi/044821.pdf","@")</f>
        <v>@</v>
      </c>
      <c r="G36" s="109" t="s">
        <v>145</v>
      </c>
      <c r="H36" s="176" t="s">
        <v>675</v>
      </c>
      <c r="I36" s="195"/>
      <c r="J36" s="334">
        <v>12623</v>
      </c>
      <c r="K36" s="335">
        <v>15400.06</v>
      </c>
    </row>
    <row r="37" spans="2:11" ht="27">
      <c r="B37" s="207" t="s">
        <v>684</v>
      </c>
      <c r="C37" s="31" t="s">
        <v>681</v>
      </c>
      <c r="D37" s="238" t="s">
        <v>674</v>
      </c>
      <c r="E37" s="26" t="s">
        <v>486</v>
      </c>
      <c r="F37" s="311" t="str">
        <f>HYPERLINK("http://www.catalogue.bosal.com/pdf/pdf_mi/049713.pdf","@")</f>
        <v>@</v>
      </c>
      <c r="G37" s="280" t="s">
        <v>145</v>
      </c>
      <c r="H37" s="176" t="s">
        <v>675</v>
      </c>
      <c r="I37" s="195"/>
      <c r="J37" s="334">
        <v>22984</v>
      </c>
      <c r="K37" s="335">
        <v>28040.48</v>
      </c>
    </row>
    <row r="38" spans="2:11" ht="27">
      <c r="B38" s="207" t="s">
        <v>709</v>
      </c>
      <c r="C38" s="31" t="s">
        <v>96</v>
      </c>
      <c r="D38" s="238" t="s">
        <v>708</v>
      </c>
      <c r="E38" s="26" t="s">
        <v>437</v>
      </c>
      <c r="F38" s="311" t="str">
        <f>HYPERLINK("http://www.catalogue.bosal.com/pdf/pdf_mi/040221.pdf","@")</f>
        <v>@</v>
      </c>
      <c r="G38" s="109" t="s">
        <v>145</v>
      </c>
      <c r="H38" s="99" t="s">
        <v>248</v>
      </c>
      <c r="I38" s="196" t="s">
        <v>481</v>
      </c>
      <c r="J38" s="334">
        <v>11128</v>
      </c>
      <c r="K38" s="335">
        <v>13576.16</v>
      </c>
    </row>
    <row r="39" spans="2:11" ht="27">
      <c r="B39" s="166"/>
      <c r="C39" s="166"/>
      <c r="D39" s="240" t="s">
        <v>129</v>
      </c>
      <c r="E39" s="171"/>
      <c r="F39" s="313"/>
      <c r="G39" s="168"/>
      <c r="H39" s="164"/>
      <c r="I39" s="164"/>
      <c r="J39" s="324"/>
      <c r="K39" s="326"/>
    </row>
    <row r="40" spans="2:11" ht="30">
      <c r="B40" s="207" t="s">
        <v>601</v>
      </c>
      <c r="C40" s="31" t="s">
        <v>96</v>
      </c>
      <c r="D40" s="238" t="s">
        <v>1197</v>
      </c>
      <c r="E40" s="26" t="s">
        <v>747</v>
      </c>
      <c r="F40" s="311" t="str">
        <f>HYPERLINK("http://www.catalogue.bosal.com/pdf/pdf_mi/034141.pdf","@")</f>
        <v>@</v>
      </c>
      <c r="G40" s="109" t="s">
        <v>145</v>
      </c>
      <c r="H40" s="100" t="s">
        <v>602</v>
      </c>
      <c r="I40" s="110"/>
      <c r="J40" s="334">
        <v>9334</v>
      </c>
      <c r="K40" s="335">
        <v>11387.48</v>
      </c>
    </row>
    <row r="41" spans="2:11" ht="30">
      <c r="B41" s="207" t="s">
        <v>603</v>
      </c>
      <c r="C41" s="31" t="s">
        <v>471</v>
      </c>
      <c r="D41" s="238" t="s">
        <v>1198</v>
      </c>
      <c r="E41" s="26" t="s">
        <v>747</v>
      </c>
      <c r="F41" s="311" t="str">
        <f>HYPERLINK("http://www.catalogue.bosal.com/pdf/pdf_mi/034143.pdf","@")</f>
        <v>@</v>
      </c>
      <c r="G41" s="109" t="s">
        <v>145</v>
      </c>
      <c r="H41" s="100" t="s">
        <v>602</v>
      </c>
      <c r="I41" s="110"/>
      <c r="J41" s="334">
        <v>15587</v>
      </c>
      <c r="K41" s="335">
        <v>19016.14</v>
      </c>
    </row>
    <row r="42" spans="2:11" ht="23.25">
      <c r="B42" s="147"/>
      <c r="C42" s="148"/>
      <c r="D42" s="237" t="s">
        <v>95</v>
      </c>
      <c r="E42" s="158"/>
      <c r="F42" s="314"/>
      <c r="G42" s="159"/>
      <c r="H42" s="160"/>
      <c r="I42" s="161"/>
      <c r="J42" s="324"/>
      <c r="K42" s="326"/>
    </row>
    <row r="43" spans="2:11" ht="30">
      <c r="B43" s="207" t="s">
        <v>616</v>
      </c>
      <c r="C43" s="31" t="s">
        <v>96</v>
      </c>
      <c r="D43" s="238" t="s">
        <v>748</v>
      </c>
      <c r="E43" s="26" t="s">
        <v>437</v>
      </c>
      <c r="F43" s="311" t="str">
        <f>HYPERLINK("http://www.catalogue.bosal.com/pdf/pdf_mi/037981.pdf","@")</f>
        <v>@</v>
      </c>
      <c r="G43" s="109" t="s">
        <v>145</v>
      </c>
      <c r="H43" s="192" t="s">
        <v>151</v>
      </c>
      <c r="I43" s="195"/>
      <c r="J43" s="320">
        <v>8730</v>
      </c>
      <c r="K43" s="259">
        <v>10910</v>
      </c>
    </row>
    <row r="44" spans="2:11" ht="27">
      <c r="B44" s="207" t="s">
        <v>710</v>
      </c>
      <c r="C44" s="31" t="s">
        <v>96</v>
      </c>
      <c r="D44" s="246" t="s">
        <v>695</v>
      </c>
      <c r="E44" s="26" t="s">
        <v>437</v>
      </c>
      <c r="F44" s="311" t="str">
        <f>HYPERLINK("http://www.catalogue.bosal.com/pdf/pdf_mi/040231.pdf","@")</f>
        <v>@</v>
      </c>
      <c r="G44" s="109" t="s">
        <v>145</v>
      </c>
      <c r="H44" s="99" t="s">
        <v>248</v>
      </c>
      <c r="I44" s="107" t="s">
        <v>481</v>
      </c>
      <c r="J44" s="334">
        <v>11115</v>
      </c>
      <c r="K44" s="335">
        <v>13560.3</v>
      </c>
    </row>
    <row r="45" spans="2:11" ht="27">
      <c r="B45" s="207" t="s">
        <v>694</v>
      </c>
      <c r="C45" s="31" t="s">
        <v>681</v>
      </c>
      <c r="D45" s="246" t="s">
        <v>695</v>
      </c>
      <c r="E45" s="26" t="s">
        <v>437</v>
      </c>
      <c r="F45" s="311" t="str">
        <f>HYPERLINK("http://www.catalogue.bosal.com/pdf/pdf_mi/051273.pdf","@")</f>
        <v>@</v>
      </c>
      <c r="G45" s="109" t="s">
        <v>145</v>
      </c>
      <c r="H45" s="99" t="s">
        <v>248</v>
      </c>
      <c r="I45" s="196" t="s">
        <v>481</v>
      </c>
      <c r="J45" s="334">
        <v>18902</v>
      </c>
      <c r="K45" s="335">
        <v>23060.44</v>
      </c>
    </row>
    <row r="46" spans="2:11" ht="27">
      <c r="B46" s="207" t="s">
        <v>701</v>
      </c>
      <c r="C46" s="31" t="s">
        <v>96</v>
      </c>
      <c r="D46" s="238" t="s">
        <v>679</v>
      </c>
      <c r="E46" s="26" t="s">
        <v>368</v>
      </c>
      <c r="F46" s="311" t="str">
        <f>HYPERLINK("http://www.catalogue.bosal.com/pdf/pdf_mi/029441.pdf","@")</f>
        <v>@</v>
      </c>
      <c r="G46" s="199" t="s">
        <v>145</v>
      </c>
      <c r="H46" s="105" t="s">
        <v>678</v>
      </c>
      <c r="I46" s="105" t="s">
        <v>481</v>
      </c>
      <c r="J46" s="334">
        <v>11180</v>
      </c>
      <c r="K46" s="335">
        <v>13639.6</v>
      </c>
    </row>
    <row r="47" spans="2:11" ht="27">
      <c r="B47" s="207" t="s">
        <v>676</v>
      </c>
      <c r="C47" s="31" t="s">
        <v>677</v>
      </c>
      <c r="D47" s="238" t="s">
        <v>679</v>
      </c>
      <c r="E47" s="26" t="s">
        <v>368</v>
      </c>
      <c r="F47" s="311" t="str">
        <f>HYPERLINK("http://www.catalogue.bosal.com/pdf/pdf_mi/048343.pdf","@")</f>
        <v>@</v>
      </c>
      <c r="G47" s="199" t="s">
        <v>145</v>
      </c>
      <c r="H47" s="105" t="s">
        <v>678</v>
      </c>
      <c r="I47" s="105" t="s">
        <v>481</v>
      </c>
      <c r="J47" s="334">
        <v>19513</v>
      </c>
      <c r="K47" s="335">
        <v>23805.86</v>
      </c>
    </row>
    <row r="48" spans="2:11" ht="27">
      <c r="B48" s="147"/>
      <c r="C48" s="148"/>
      <c r="D48" s="237" t="s">
        <v>287</v>
      </c>
      <c r="E48" s="158"/>
      <c r="F48" s="313"/>
      <c r="G48" s="159"/>
      <c r="H48" s="160"/>
      <c r="I48" s="161"/>
      <c r="J48" s="324"/>
      <c r="K48" s="326"/>
    </row>
    <row r="49" spans="2:11" ht="27">
      <c r="B49" s="207" t="s">
        <v>672</v>
      </c>
      <c r="C49" s="31" t="s">
        <v>96</v>
      </c>
      <c r="D49" s="247" t="s">
        <v>465</v>
      </c>
      <c r="E49" s="26" t="s">
        <v>117</v>
      </c>
      <c r="F49" s="311" t="str">
        <f>HYPERLINK("http://www.catalogue.bosal.com/pdf/pdf_mi/044321.pdf","@")</f>
        <v>@</v>
      </c>
      <c r="G49" s="281" t="s">
        <v>145</v>
      </c>
      <c r="H49" s="105" t="s">
        <v>627</v>
      </c>
      <c r="I49" s="195" t="s">
        <v>481</v>
      </c>
      <c r="J49" s="334">
        <v>12025</v>
      </c>
      <c r="K49" s="335">
        <v>14670.5</v>
      </c>
    </row>
    <row r="50" spans="2:11" ht="27">
      <c r="B50" s="207" t="s">
        <v>626</v>
      </c>
      <c r="C50" s="31" t="s">
        <v>471</v>
      </c>
      <c r="D50" s="247" t="s">
        <v>753</v>
      </c>
      <c r="E50" s="26" t="s">
        <v>117</v>
      </c>
      <c r="F50" s="311" t="str">
        <f>HYPERLINK("http://www.catalogue.bosal.com/pdf/pdf_mi/044323.pdf","@")</f>
        <v>@</v>
      </c>
      <c r="G50" s="109" t="s">
        <v>145</v>
      </c>
      <c r="H50" s="105" t="s">
        <v>627</v>
      </c>
      <c r="I50" s="195" t="s">
        <v>481</v>
      </c>
      <c r="J50" s="334">
        <v>18707</v>
      </c>
      <c r="K50" s="335">
        <v>22822.54</v>
      </c>
    </row>
    <row r="51" spans="2:11" ht="27">
      <c r="B51" s="147"/>
      <c r="C51" s="148"/>
      <c r="D51" s="237" t="s">
        <v>290</v>
      </c>
      <c r="E51" s="158"/>
      <c r="F51" s="313"/>
      <c r="G51" s="159"/>
      <c r="H51" s="160"/>
      <c r="I51" s="161"/>
      <c r="J51" s="324"/>
      <c r="K51" s="326"/>
    </row>
    <row r="52" spans="2:11" ht="27">
      <c r="B52" s="207" t="s">
        <v>807</v>
      </c>
      <c r="C52" s="31" t="s">
        <v>96</v>
      </c>
      <c r="D52" s="246" t="s">
        <v>808</v>
      </c>
      <c r="E52" s="26" t="s">
        <v>809</v>
      </c>
      <c r="F52" s="311" t="str">
        <f>HYPERLINK("http://www.catalogue.bosal.com/pdf/pdf_mi/040211.pdf","@")</f>
        <v>@</v>
      </c>
      <c r="G52" s="93" t="s">
        <v>145</v>
      </c>
      <c r="H52" s="99" t="s">
        <v>810</v>
      </c>
      <c r="I52" s="99" t="s">
        <v>481</v>
      </c>
      <c r="J52" s="320">
        <v>10621</v>
      </c>
      <c r="K52" s="259">
        <v>12957.619999999999</v>
      </c>
    </row>
    <row r="53" spans="2:11" ht="27">
      <c r="B53" s="207" t="s">
        <v>812</v>
      </c>
      <c r="C53" s="31" t="s">
        <v>96</v>
      </c>
      <c r="D53" s="246" t="s">
        <v>761</v>
      </c>
      <c r="E53" s="26" t="s">
        <v>811</v>
      </c>
      <c r="F53" s="311" t="str">
        <f>HYPERLINK("http://www.catalogue.bosal.com/pdf/pdf_mi/042621.pdf","@")</f>
        <v>@</v>
      </c>
      <c r="G53" s="93" t="s">
        <v>145</v>
      </c>
      <c r="H53" s="99" t="s">
        <v>813</v>
      </c>
      <c r="I53" s="99" t="s">
        <v>481</v>
      </c>
      <c r="J53" s="320">
        <v>10244</v>
      </c>
      <c r="K53" s="259">
        <v>12497.68</v>
      </c>
    </row>
    <row r="54" spans="2:11" ht="27">
      <c r="B54" s="207" t="s">
        <v>620</v>
      </c>
      <c r="C54" s="31" t="s">
        <v>96</v>
      </c>
      <c r="D54" s="238" t="s">
        <v>762</v>
      </c>
      <c r="E54" s="26" t="s">
        <v>549</v>
      </c>
      <c r="F54" s="311" t="str">
        <f>HYPERLINK("http://www.catalogue.bosal.com/pdf/pdf_mi/038761.pdf","@")</f>
        <v>@</v>
      </c>
      <c r="G54" s="93" t="s">
        <v>145</v>
      </c>
      <c r="H54" s="104" t="s">
        <v>621</v>
      </c>
      <c r="I54" s="107" t="s">
        <v>481</v>
      </c>
      <c r="J54" s="320">
        <v>10660</v>
      </c>
      <c r="K54" s="259">
        <v>13005.199999999999</v>
      </c>
    </row>
    <row r="55" spans="2:11" ht="27">
      <c r="B55" s="207" t="s">
        <v>642</v>
      </c>
      <c r="C55" s="31" t="s">
        <v>547</v>
      </c>
      <c r="D55" s="238" t="s">
        <v>762</v>
      </c>
      <c r="E55" s="26" t="s">
        <v>549</v>
      </c>
      <c r="F55" s="311" t="str">
        <f>HYPERLINK("http://www.catalogue.bosal.com/pdf/pdf_mi/051053.pdf","@")</f>
        <v>@</v>
      </c>
      <c r="G55" s="93" t="s">
        <v>145</v>
      </c>
      <c r="H55" s="104" t="s">
        <v>621</v>
      </c>
      <c r="I55" s="107" t="s">
        <v>481</v>
      </c>
      <c r="J55" s="320">
        <v>18187</v>
      </c>
      <c r="K55" s="259">
        <v>22188.14</v>
      </c>
    </row>
    <row r="56" spans="2:11" ht="27">
      <c r="B56" s="166"/>
      <c r="C56" s="167"/>
      <c r="D56" s="244" t="s">
        <v>293</v>
      </c>
      <c r="E56" s="166"/>
      <c r="F56" s="313"/>
      <c r="G56" s="169"/>
      <c r="H56" s="160"/>
      <c r="I56" s="160"/>
      <c r="J56" s="324"/>
      <c r="K56" s="326"/>
    </row>
    <row r="57" spans="2:11" ht="27">
      <c r="B57" s="76" t="s">
        <v>692</v>
      </c>
      <c r="C57" s="80" t="s">
        <v>547</v>
      </c>
      <c r="D57" s="245" t="s">
        <v>691</v>
      </c>
      <c r="E57" s="26" t="s">
        <v>99</v>
      </c>
      <c r="F57" s="311" t="str">
        <f>HYPERLINK("http://www.catalogue.bosal.com/pdf/pdf_mi/050533.pdf","@")</f>
        <v>@</v>
      </c>
      <c r="G57" s="93" t="s">
        <v>145</v>
      </c>
      <c r="H57" s="105" t="s">
        <v>48</v>
      </c>
      <c r="I57" s="105" t="s">
        <v>481</v>
      </c>
      <c r="J57" s="320">
        <v>30524</v>
      </c>
      <c r="K57" s="259">
        <v>37239.279999999999</v>
      </c>
    </row>
    <row r="58" spans="2:11" ht="27">
      <c r="B58" s="76" t="s">
        <v>634</v>
      </c>
      <c r="C58" s="80" t="s">
        <v>547</v>
      </c>
      <c r="D58" s="245" t="s">
        <v>635</v>
      </c>
      <c r="E58" s="26" t="s">
        <v>140</v>
      </c>
      <c r="F58" s="311" t="str">
        <f>HYPERLINK("http://www.catalogue.bosal.com/pdf/pdf_mi/049683.pdf","@")</f>
        <v>@</v>
      </c>
      <c r="G58" s="93" t="s">
        <v>145</v>
      </c>
      <c r="H58" s="105" t="s">
        <v>636</v>
      </c>
      <c r="I58" s="105" t="s">
        <v>481</v>
      </c>
      <c r="J58" s="320">
        <v>28327</v>
      </c>
      <c r="K58" s="259">
        <v>34558.94</v>
      </c>
    </row>
    <row r="59" spans="2:11" ht="27">
      <c r="B59" s="76" t="s">
        <v>713</v>
      </c>
      <c r="C59" s="80" t="s">
        <v>471</v>
      </c>
      <c r="D59" s="245" t="s">
        <v>1196</v>
      </c>
      <c r="E59" s="26" t="s">
        <v>109</v>
      </c>
      <c r="F59" s="311" t="str">
        <f>HYPERLINK("http://www.catalogue.bosal.com/pdf/pdf_mi/043033.pdf","@")</f>
        <v>@</v>
      </c>
      <c r="G59" s="93" t="s">
        <v>145</v>
      </c>
      <c r="H59" s="105" t="s">
        <v>714</v>
      </c>
      <c r="I59" s="105" t="s">
        <v>481</v>
      </c>
      <c r="J59" s="320">
        <v>30277</v>
      </c>
      <c r="K59" s="259">
        <v>36937.94</v>
      </c>
    </row>
    <row r="60" spans="2:11" ht="27">
      <c r="B60" s="147"/>
      <c r="C60" s="148"/>
      <c r="D60" s="237" t="s">
        <v>299</v>
      </c>
      <c r="E60" s="158"/>
      <c r="F60" s="313"/>
      <c r="G60" s="159"/>
      <c r="H60" s="160"/>
      <c r="I60" s="161"/>
      <c r="J60" s="324"/>
      <c r="K60" s="326"/>
    </row>
    <row r="61" spans="2:11" ht="27">
      <c r="B61" s="207" t="s">
        <v>680</v>
      </c>
      <c r="C61" s="31" t="s">
        <v>681</v>
      </c>
      <c r="D61" s="45" t="s">
        <v>466</v>
      </c>
      <c r="E61" s="26" t="s">
        <v>587</v>
      </c>
      <c r="F61" s="311" t="str">
        <f>HYPERLINK("http://www.catalogue.bosal.com/pdf/pdf_mi/048983.pdf","@")</f>
        <v>@</v>
      </c>
      <c r="G61" s="138" t="s">
        <v>145</v>
      </c>
      <c r="H61" s="105" t="s">
        <v>1253</v>
      </c>
      <c r="I61" s="105" t="s">
        <v>481</v>
      </c>
      <c r="J61" s="334">
        <v>24843</v>
      </c>
      <c r="K61" s="335">
        <v>30308.46</v>
      </c>
    </row>
    <row r="62" spans="2:11" ht="27">
      <c r="B62" s="207" t="s">
        <v>1251</v>
      </c>
      <c r="C62" s="31" t="s">
        <v>681</v>
      </c>
      <c r="D62" s="45" t="s">
        <v>1252</v>
      </c>
      <c r="E62" s="26" t="s">
        <v>549</v>
      </c>
      <c r="F62" s="345" t="str">
        <f>HYPERLINK("http://www.catalogue.bosal.com/pdf/pdf_mi/049443.pdf","@")</f>
        <v>@</v>
      </c>
      <c r="G62" s="138" t="s">
        <v>145</v>
      </c>
      <c r="H62" s="105" t="s">
        <v>161</v>
      </c>
      <c r="I62" s="105" t="s">
        <v>481</v>
      </c>
      <c r="J62" s="334">
        <v>17810</v>
      </c>
      <c r="K62" s="335">
        <v>22260</v>
      </c>
    </row>
    <row r="63" spans="2:11" ht="27">
      <c r="B63" s="76" t="s">
        <v>628</v>
      </c>
      <c r="C63" s="31" t="s">
        <v>96</v>
      </c>
      <c r="D63" s="45" t="s">
        <v>766</v>
      </c>
      <c r="E63" s="79" t="s">
        <v>117</v>
      </c>
      <c r="F63" s="311" t="str">
        <f>HYPERLINK("http://www.catalogue.bosal.com/pdf/pdf_mi/044351.pdf","@")</f>
        <v>@</v>
      </c>
      <c r="G63" s="138"/>
      <c r="H63" s="105" t="s">
        <v>629</v>
      </c>
      <c r="I63" s="195"/>
      <c r="J63" s="334">
        <v>15587</v>
      </c>
      <c r="K63" s="335">
        <v>19016.14</v>
      </c>
    </row>
    <row r="64" spans="2:11" ht="27">
      <c r="B64" s="147"/>
      <c r="C64" s="148"/>
      <c r="D64" s="237" t="s">
        <v>316</v>
      </c>
      <c r="E64" s="158"/>
      <c r="F64" s="313"/>
      <c r="G64" s="159"/>
      <c r="H64" s="160"/>
      <c r="I64" s="161"/>
      <c r="J64" s="324"/>
      <c r="K64" s="326"/>
    </row>
    <row r="65" spans="2:11" ht="27">
      <c r="B65" s="207" t="s">
        <v>1206</v>
      </c>
      <c r="C65" s="31" t="s">
        <v>96</v>
      </c>
      <c r="D65" s="238" t="s">
        <v>1207</v>
      </c>
      <c r="E65" s="46" t="s">
        <v>1208</v>
      </c>
      <c r="F65" s="338" t="str">
        <f>HYPERLINK("http://www.catalogue.bosal.com/pdf/pdf_mi/017072.pdf","@")</f>
        <v>@</v>
      </c>
      <c r="G65" s="138" t="s">
        <v>145</v>
      </c>
      <c r="H65" s="105" t="s">
        <v>1209</v>
      </c>
      <c r="I65" s="105"/>
      <c r="J65" s="334">
        <v>7730</v>
      </c>
      <c r="K65" s="335">
        <v>10430</v>
      </c>
    </row>
    <row r="66" spans="2:11" ht="31.5" customHeight="1">
      <c r="B66" s="207" t="s">
        <v>712</v>
      </c>
      <c r="C66" s="31" t="s">
        <v>96</v>
      </c>
      <c r="D66" s="238" t="s">
        <v>1256</v>
      </c>
      <c r="E66" s="46" t="s">
        <v>648</v>
      </c>
      <c r="F66" s="311" t="str">
        <f>HYPERLINK("http://www.catalogue.bosal.com/pdf/pdf_mi/042631.pdf","@")</f>
        <v>@</v>
      </c>
      <c r="G66" s="93"/>
      <c r="H66" s="105" t="s">
        <v>530</v>
      </c>
      <c r="I66" s="105" t="s">
        <v>481</v>
      </c>
      <c r="J66" s="334">
        <v>12805</v>
      </c>
      <c r="K66" s="335">
        <v>15622.1</v>
      </c>
    </row>
    <row r="67" spans="2:11" ht="31.5" customHeight="1">
      <c r="B67" s="207" t="s">
        <v>1254</v>
      </c>
      <c r="C67" s="31" t="s">
        <v>547</v>
      </c>
      <c r="D67" s="238" t="s">
        <v>1255</v>
      </c>
      <c r="E67" s="46" t="s">
        <v>648</v>
      </c>
      <c r="F67" s="345" t="str">
        <f>HYPERLINK("http://www.catalogue.bosal.com/pdf/pdf_mi/050613.pdf","@")</f>
        <v>@</v>
      </c>
      <c r="G67" s="93"/>
      <c r="H67" s="105" t="s">
        <v>530</v>
      </c>
      <c r="I67" s="105" t="s">
        <v>481</v>
      </c>
      <c r="J67" s="334">
        <v>18640</v>
      </c>
      <c r="K67" s="335">
        <v>23310</v>
      </c>
    </row>
    <row r="68" spans="2:11" ht="23.25">
      <c r="B68" s="147"/>
      <c r="C68" s="148"/>
      <c r="D68" s="237" t="s">
        <v>324</v>
      </c>
      <c r="E68" s="158"/>
      <c r="F68" s="314"/>
      <c r="G68" s="159"/>
      <c r="H68" s="160"/>
      <c r="I68" s="161"/>
      <c r="J68" s="324"/>
      <c r="K68" s="326"/>
    </row>
    <row r="69" spans="2:11" ht="27">
      <c r="B69" s="207" t="s">
        <v>469</v>
      </c>
      <c r="C69" s="31" t="s">
        <v>96</v>
      </c>
      <c r="D69" s="238" t="s">
        <v>769</v>
      </c>
      <c r="E69" s="89" t="s">
        <v>90</v>
      </c>
      <c r="F69" s="311" t="str">
        <f>HYPERLINK("http://www.catalogue.bosal.com/pdf/pdf_mi/027401.pdf","@")</f>
        <v>@</v>
      </c>
      <c r="G69" s="98"/>
      <c r="H69" s="105" t="s">
        <v>470</v>
      </c>
      <c r="I69" s="105" t="s">
        <v>481</v>
      </c>
      <c r="J69" s="334">
        <v>8827</v>
      </c>
      <c r="K69" s="336">
        <v>10768.94</v>
      </c>
    </row>
    <row r="70" spans="2:11" ht="30">
      <c r="B70" s="226" t="s">
        <v>706</v>
      </c>
      <c r="C70" s="226" t="s">
        <v>96</v>
      </c>
      <c r="D70" s="239" t="s">
        <v>770</v>
      </c>
      <c r="E70" s="227" t="s">
        <v>705</v>
      </c>
      <c r="F70" s="311" t="str">
        <f>HYPERLINK("http://www.catalogue.bosal.com/pdf/pdf_mi/038211.pdf","@")</f>
        <v>@</v>
      </c>
      <c r="G70" s="180" t="s">
        <v>145</v>
      </c>
      <c r="H70" s="228" t="s">
        <v>148</v>
      </c>
      <c r="I70" s="197" t="s">
        <v>481</v>
      </c>
      <c r="J70" s="334">
        <v>9165</v>
      </c>
      <c r="K70" s="335">
        <v>11181.3</v>
      </c>
    </row>
    <row r="71" spans="2:11" ht="54" customHeight="1">
      <c r="B71" s="226" t="s">
        <v>825</v>
      </c>
      <c r="C71" s="226" t="s">
        <v>547</v>
      </c>
      <c r="D71" s="239" t="s">
        <v>770</v>
      </c>
      <c r="E71" s="227" t="s">
        <v>705</v>
      </c>
      <c r="F71" s="311" t="str">
        <f>HYPERLINK("http://www.catalogue.bosal.com/pdf/pdf_mi/050573.pdf","@")</f>
        <v>@</v>
      </c>
      <c r="G71" s="180" t="s">
        <v>145</v>
      </c>
      <c r="H71" s="228" t="s">
        <v>148</v>
      </c>
      <c r="I71" s="197" t="s">
        <v>481</v>
      </c>
      <c r="J71" s="334">
        <v>17797</v>
      </c>
      <c r="K71" s="335">
        <v>21712.34</v>
      </c>
    </row>
    <row r="72" spans="2:11" ht="23.25">
      <c r="B72" s="181"/>
      <c r="C72" s="182"/>
      <c r="D72" s="242" t="s">
        <v>325</v>
      </c>
      <c r="E72" s="183"/>
      <c r="F72" s="318"/>
      <c r="G72" s="169"/>
      <c r="H72" s="160"/>
      <c r="I72" s="160"/>
      <c r="J72" s="324"/>
      <c r="K72" s="326"/>
    </row>
    <row r="73" spans="2:11" ht="27">
      <c r="B73" s="207" t="s">
        <v>680</v>
      </c>
      <c r="C73" s="31" t="s">
        <v>681</v>
      </c>
      <c r="D73" s="45" t="s">
        <v>467</v>
      </c>
      <c r="E73" s="26" t="s">
        <v>117</v>
      </c>
      <c r="F73" s="311" t="str">
        <f>HYPERLINK("http://www.catalogue.bosal.com/pdf/pdf_mi/048983.pdf","@")</f>
        <v>@</v>
      </c>
      <c r="G73" s="93" t="s">
        <v>145</v>
      </c>
      <c r="H73" s="105" t="s">
        <v>682</v>
      </c>
      <c r="I73" s="105" t="s">
        <v>481</v>
      </c>
      <c r="J73" s="334">
        <v>24843</v>
      </c>
      <c r="K73" s="335">
        <v>30308.46</v>
      </c>
    </row>
    <row r="74" spans="2:11" ht="53.25" customHeight="1">
      <c r="B74" s="80" t="s">
        <v>715</v>
      </c>
      <c r="C74" s="31" t="s">
        <v>92</v>
      </c>
      <c r="D74" s="243" t="s">
        <v>1190</v>
      </c>
      <c r="E74" s="77" t="s">
        <v>109</v>
      </c>
      <c r="F74" s="311" t="str">
        <f>HYPERLINK("http://www.catalogue.bosal.com/pdf/pdf_mi/043252.pdf","@")</f>
        <v>@</v>
      </c>
      <c r="G74" s="138" t="s">
        <v>145</v>
      </c>
      <c r="H74" s="195" t="s">
        <v>248</v>
      </c>
      <c r="I74" s="195" t="s">
        <v>481</v>
      </c>
      <c r="J74" s="334">
        <v>14040</v>
      </c>
      <c r="K74" s="335">
        <v>17128.8</v>
      </c>
    </row>
    <row r="75" spans="2:11" ht="53.25" customHeight="1">
      <c r="B75" s="80" t="s">
        <v>604</v>
      </c>
      <c r="C75" s="31" t="s">
        <v>92</v>
      </c>
      <c r="D75" s="243" t="s">
        <v>1236</v>
      </c>
      <c r="E75" s="77" t="s">
        <v>109</v>
      </c>
      <c r="F75" s="311" t="str">
        <f>HYPERLINK("http://www.catalogue.bosal.com/pdf/pdf_mi/034962.pdf","@")</f>
        <v>@</v>
      </c>
      <c r="G75" s="93"/>
      <c r="H75" s="107" t="s">
        <v>605</v>
      </c>
      <c r="I75" s="107" t="s">
        <v>481</v>
      </c>
      <c r="J75" s="334">
        <v>9900</v>
      </c>
      <c r="K75" s="335">
        <v>12900</v>
      </c>
    </row>
    <row r="76" spans="2:11" ht="27">
      <c r="B76" s="166"/>
      <c r="C76" s="167"/>
      <c r="D76" s="244" t="s">
        <v>102</v>
      </c>
      <c r="E76" s="166"/>
      <c r="F76" s="313"/>
      <c r="G76" s="169"/>
      <c r="H76" s="160"/>
      <c r="I76" s="160"/>
      <c r="J76" s="324"/>
      <c r="K76" s="326"/>
    </row>
    <row r="77" spans="2:11" ht="30">
      <c r="B77" s="293" t="s">
        <v>597</v>
      </c>
      <c r="C77" s="193" t="s">
        <v>96</v>
      </c>
      <c r="D77" s="248" t="s">
        <v>468</v>
      </c>
      <c r="E77" s="44" t="s">
        <v>775</v>
      </c>
      <c r="F77" s="311" t="str">
        <f>HYPERLINK("http://www.catalogue.bosal.com/pdf/pdf_mi/029741.pdf","@")</f>
        <v>@</v>
      </c>
      <c r="G77" s="180" t="s">
        <v>145</v>
      </c>
      <c r="H77" s="186" t="s">
        <v>48</v>
      </c>
      <c r="I77" s="177" t="s">
        <v>481</v>
      </c>
      <c r="J77" s="334">
        <v>14352</v>
      </c>
      <c r="K77" s="335">
        <v>17509.439999999999</v>
      </c>
    </row>
    <row r="78" spans="2:11" ht="27">
      <c r="B78" s="147"/>
      <c r="C78" s="148"/>
      <c r="D78" s="237" t="s">
        <v>329</v>
      </c>
      <c r="E78" s="158"/>
      <c r="F78" s="313"/>
      <c r="G78" s="159"/>
      <c r="H78" s="160"/>
      <c r="I78" s="161"/>
      <c r="J78" s="324"/>
      <c r="K78" s="326"/>
    </row>
    <row r="79" spans="2:11" ht="27">
      <c r="B79" s="207" t="s">
        <v>617</v>
      </c>
      <c r="C79" s="31" t="s">
        <v>96</v>
      </c>
      <c r="D79" s="238" t="s">
        <v>1191</v>
      </c>
      <c r="E79" s="26" t="s">
        <v>437</v>
      </c>
      <c r="F79" s="311" t="str">
        <f>HYPERLINK("http://www.catalogue.bosal.com/pdf/pdf_mi/038041.pdf","@")</f>
        <v>@</v>
      </c>
      <c r="G79" s="93" t="s">
        <v>145</v>
      </c>
      <c r="H79" s="105" t="s">
        <v>619</v>
      </c>
      <c r="I79" s="105" t="s">
        <v>481</v>
      </c>
      <c r="J79" s="334">
        <v>9516</v>
      </c>
      <c r="K79" s="335">
        <v>11609.52</v>
      </c>
    </row>
    <row r="80" spans="2:11" ht="27">
      <c r="B80" s="207" t="s">
        <v>641</v>
      </c>
      <c r="C80" s="31" t="s">
        <v>547</v>
      </c>
      <c r="D80" s="238" t="s">
        <v>1191</v>
      </c>
      <c r="E80" s="26" t="s">
        <v>437</v>
      </c>
      <c r="F80" s="311" t="str">
        <f>HYPERLINK("http://www.catalogue.bosal.com/pdf/pdf_mi/050523.pdf","@")</f>
        <v>@</v>
      </c>
      <c r="G80" s="138"/>
      <c r="H80" s="105" t="s">
        <v>619</v>
      </c>
      <c r="I80" s="105" t="s">
        <v>481</v>
      </c>
      <c r="J80" s="334">
        <v>17459</v>
      </c>
      <c r="K80" s="335">
        <v>21299.98</v>
      </c>
    </row>
    <row r="81" spans="2:11" ht="27">
      <c r="B81" s="147"/>
      <c r="C81" s="148"/>
      <c r="D81" s="237" t="s">
        <v>330</v>
      </c>
      <c r="E81" s="158"/>
      <c r="F81" s="313"/>
      <c r="G81" s="159"/>
      <c r="H81" s="160"/>
      <c r="I81" s="161"/>
      <c r="J81" s="324"/>
      <c r="K81" s="326"/>
    </row>
    <row r="82" spans="2:11" ht="27">
      <c r="B82" s="207" t="s">
        <v>637</v>
      </c>
      <c r="C82" s="31" t="s">
        <v>547</v>
      </c>
      <c r="D82" s="238" t="s">
        <v>777</v>
      </c>
      <c r="E82" s="26" t="s">
        <v>778</v>
      </c>
      <c r="F82" s="311" t="str">
        <f>HYPERLINK("http://www.catalogue.bosal.com/pdf/pdf_mi/049803.pdf","@")</f>
        <v>@</v>
      </c>
      <c r="G82" s="224" t="s">
        <v>145</v>
      </c>
      <c r="H82" s="99" t="s">
        <v>600</v>
      </c>
      <c r="I82" s="99" t="s">
        <v>481</v>
      </c>
      <c r="J82" s="334">
        <v>16991</v>
      </c>
      <c r="K82" s="335">
        <v>20729.02</v>
      </c>
    </row>
    <row r="83" spans="2:11" ht="27">
      <c r="B83" s="207" t="s">
        <v>704</v>
      </c>
      <c r="C83" s="31" t="s">
        <v>96</v>
      </c>
      <c r="D83" s="238" t="s">
        <v>776</v>
      </c>
      <c r="E83" s="26" t="s">
        <v>778</v>
      </c>
      <c r="F83" s="311" t="str">
        <f>HYPERLINK("http://www.catalogue.bosal.com/pdf/pdf_mi/035791.pdf","@")</f>
        <v>@</v>
      </c>
      <c r="G83" s="93" t="s">
        <v>145</v>
      </c>
      <c r="H83" s="100" t="s">
        <v>600</v>
      </c>
      <c r="I83" s="100" t="s">
        <v>481</v>
      </c>
      <c r="J83" s="334">
        <v>8892</v>
      </c>
      <c r="K83" s="335">
        <v>10848.24</v>
      </c>
    </row>
    <row r="84" spans="2:11" ht="30">
      <c r="B84" s="207" t="s">
        <v>622</v>
      </c>
      <c r="C84" s="31" t="s">
        <v>96</v>
      </c>
      <c r="D84" s="238" t="s">
        <v>1192</v>
      </c>
      <c r="E84" s="26" t="s">
        <v>549</v>
      </c>
      <c r="F84" s="311" t="str">
        <f>HYPERLINK("http://www.catalogue.bosal.com/pdf/pdf_mi/038861.pdf","@")</f>
        <v>@</v>
      </c>
      <c r="G84" s="93" t="s">
        <v>145</v>
      </c>
      <c r="H84" s="100" t="s">
        <v>619</v>
      </c>
      <c r="I84" s="110" t="s">
        <v>481</v>
      </c>
      <c r="J84" s="334">
        <v>8268</v>
      </c>
      <c r="K84" s="335">
        <v>10086.959999999999</v>
      </c>
    </row>
    <row r="85" spans="2:11" ht="30">
      <c r="B85" s="207" t="s">
        <v>818</v>
      </c>
      <c r="C85" s="31" t="s">
        <v>547</v>
      </c>
      <c r="D85" s="238" t="s">
        <v>1192</v>
      </c>
      <c r="E85" s="26">
        <v>2013</v>
      </c>
      <c r="F85" s="311" t="str">
        <f>HYPERLINK("http://www.catalogue.bosal.com/pdf/pdf_mi/051123.pdf","@")</f>
        <v>@</v>
      </c>
      <c r="G85" s="93" t="s">
        <v>145</v>
      </c>
      <c r="H85" s="100" t="s">
        <v>619</v>
      </c>
      <c r="I85" s="110" t="s">
        <v>481</v>
      </c>
      <c r="J85" s="334">
        <v>15756</v>
      </c>
      <c r="K85" s="335">
        <v>19222.32</v>
      </c>
    </row>
    <row r="86" spans="2:11" ht="27">
      <c r="B86" s="207" t="s">
        <v>617</v>
      </c>
      <c r="C86" s="31" t="s">
        <v>96</v>
      </c>
      <c r="D86" s="238" t="s">
        <v>779</v>
      </c>
      <c r="E86" s="26" t="s">
        <v>549</v>
      </c>
      <c r="F86" s="311" t="str">
        <f>HYPERLINK("http://www.catalogue.bosal.com/pdf/pdf_mi/038041.pdf","@")</f>
        <v>@</v>
      </c>
      <c r="G86" s="93" t="s">
        <v>145</v>
      </c>
      <c r="H86" s="99" t="s">
        <v>619</v>
      </c>
      <c r="I86" s="105" t="s">
        <v>481</v>
      </c>
      <c r="J86" s="334">
        <v>9516</v>
      </c>
      <c r="K86" s="335">
        <v>11609.52</v>
      </c>
    </row>
    <row r="87" spans="2:11" ht="27">
      <c r="B87" s="207" t="s">
        <v>641</v>
      </c>
      <c r="C87" s="31" t="s">
        <v>547</v>
      </c>
      <c r="D87" s="238" t="s">
        <v>779</v>
      </c>
      <c r="E87" s="26" t="s">
        <v>549</v>
      </c>
      <c r="F87" s="311" t="str">
        <f>HYPERLINK("http://www.catalogue.bosal.com/pdf/pdf_mi/050523.pdf","@")</f>
        <v>@</v>
      </c>
      <c r="G87" s="138"/>
      <c r="H87" s="105" t="s">
        <v>619</v>
      </c>
      <c r="I87" s="105" t="s">
        <v>481</v>
      </c>
      <c r="J87" s="334">
        <v>17459</v>
      </c>
      <c r="K87" s="335">
        <v>21299.98</v>
      </c>
    </row>
    <row r="88" spans="2:11" ht="27">
      <c r="B88" s="147"/>
      <c r="C88" s="148"/>
      <c r="D88" s="237" t="s">
        <v>333</v>
      </c>
      <c r="E88" s="158"/>
      <c r="F88" s="313"/>
      <c r="G88" s="159"/>
      <c r="H88" s="160"/>
      <c r="I88" s="161"/>
      <c r="J88" s="324"/>
      <c r="K88" s="326"/>
    </row>
    <row r="89" spans="2:11" ht="27">
      <c r="B89" s="222" t="s">
        <v>606</v>
      </c>
      <c r="C89" s="222" t="s">
        <v>96</v>
      </c>
      <c r="D89" s="283" t="s">
        <v>615</v>
      </c>
      <c r="E89" s="223" t="s">
        <v>99</v>
      </c>
      <c r="F89" s="311" t="str">
        <f>HYPERLINK("http://www.catalogue.bosal.com/pdf/pdf_mi/034991.pdf","@")</f>
        <v>@</v>
      </c>
      <c r="G89" s="224" t="s">
        <v>145</v>
      </c>
      <c r="H89" s="225" t="s">
        <v>607</v>
      </c>
      <c r="I89" s="225"/>
      <c r="J89" s="337">
        <v>15444</v>
      </c>
      <c r="K89" s="335">
        <v>18841.68</v>
      </c>
    </row>
    <row r="90" spans="2:11" ht="27">
      <c r="B90" s="187"/>
      <c r="C90" s="188"/>
      <c r="D90" s="249" t="s">
        <v>349</v>
      </c>
      <c r="E90" s="189"/>
      <c r="F90" s="313"/>
      <c r="G90" s="159"/>
      <c r="H90" s="160"/>
      <c r="I90" s="161"/>
      <c r="J90" s="324"/>
      <c r="K90" s="326"/>
    </row>
    <row r="91" spans="2:11" ht="27">
      <c r="B91" s="207" t="s">
        <v>622</v>
      </c>
      <c r="C91" s="31" t="s">
        <v>96</v>
      </c>
      <c r="D91" s="238" t="s">
        <v>784</v>
      </c>
      <c r="E91" s="26" t="s">
        <v>549</v>
      </c>
      <c r="F91" s="311" t="str">
        <f>HYPERLINK("http://www.catalogue.bosal.com/pdf/pdf_mi/038861.pdf","@")</f>
        <v>@</v>
      </c>
      <c r="G91" s="93" t="s">
        <v>145</v>
      </c>
      <c r="H91" s="100" t="s">
        <v>619</v>
      </c>
      <c r="I91" s="100" t="s">
        <v>481</v>
      </c>
      <c r="J91" s="334">
        <v>8268</v>
      </c>
      <c r="K91" s="335">
        <v>10086.959999999999</v>
      </c>
    </row>
    <row r="92" spans="2:11" ht="27">
      <c r="B92" s="207" t="s">
        <v>617</v>
      </c>
      <c r="C92" s="31" t="s">
        <v>96</v>
      </c>
      <c r="D92" s="238" t="s">
        <v>782</v>
      </c>
      <c r="E92" s="26" t="s">
        <v>783</v>
      </c>
      <c r="F92" s="311" t="str">
        <f>HYPERLINK("http://www.catalogue.bosal.com/pdf/pdf_mi/038041.pdf","@")</f>
        <v>@</v>
      </c>
      <c r="G92" s="138" t="s">
        <v>145</v>
      </c>
      <c r="H92" s="105" t="s">
        <v>619</v>
      </c>
      <c r="I92" s="105" t="s">
        <v>481</v>
      </c>
      <c r="J92" s="334">
        <v>9516</v>
      </c>
      <c r="K92" s="335">
        <v>11609.52</v>
      </c>
    </row>
    <row r="93" spans="2:11" ht="27">
      <c r="B93" s="207" t="s">
        <v>641</v>
      </c>
      <c r="C93" s="31" t="s">
        <v>547</v>
      </c>
      <c r="D93" s="238" t="s">
        <v>782</v>
      </c>
      <c r="E93" s="26" t="s">
        <v>783</v>
      </c>
      <c r="F93" s="311" t="str">
        <f>HYPERLINK("http://www.catalogue.bosal.com/pdf/pdf_mi/050523.pdf","@")</f>
        <v>@</v>
      </c>
      <c r="G93" s="138"/>
      <c r="H93" s="105" t="s">
        <v>619</v>
      </c>
      <c r="I93" s="105" t="s">
        <v>481</v>
      </c>
      <c r="J93" s="334">
        <v>17459</v>
      </c>
      <c r="K93" s="335">
        <v>21299.98</v>
      </c>
    </row>
    <row r="94" spans="2:11" ht="30">
      <c r="B94" s="207" t="s">
        <v>612</v>
      </c>
      <c r="C94" s="31" t="s">
        <v>96</v>
      </c>
      <c r="D94" s="238" t="s">
        <v>1193</v>
      </c>
      <c r="E94" s="26" t="s">
        <v>724</v>
      </c>
      <c r="F94" s="311" t="str">
        <f>HYPERLINK("http://www.catalogue.bosal.com/pdf/pdf_mi/037351.pdf","@")</f>
        <v>@</v>
      </c>
      <c r="G94" s="93" t="s">
        <v>145</v>
      </c>
      <c r="H94" s="99" t="s">
        <v>614</v>
      </c>
      <c r="I94" s="99" t="s">
        <v>481</v>
      </c>
      <c r="J94" s="334">
        <v>10127</v>
      </c>
      <c r="K94" s="335">
        <v>12354.94</v>
      </c>
    </row>
    <row r="95" spans="2:11" ht="30">
      <c r="B95" s="293" t="s">
        <v>597</v>
      </c>
      <c r="C95" s="193" t="s">
        <v>96</v>
      </c>
      <c r="D95" s="241" t="s">
        <v>1194</v>
      </c>
      <c r="E95" s="190" t="s">
        <v>723</v>
      </c>
      <c r="F95" s="311" t="str">
        <f>HYPERLINK("http://www.catalogue.bosal.com/pdf/pdf_mi/029741.pdf","@")</f>
        <v>@</v>
      </c>
      <c r="G95" s="180" t="s">
        <v>145</v>
      </c>
      <c r="H95" s="186" t="s">
        <v>48</v>
      </c>
      <c r="I95" s="177" t="s">
        <v>481</v>
      </c>
      <c r="J95" s="334">
        <v>14352</v>
      </c>
      <c r="K95" s="335">
        <v>17509.439999999999</v>
      </c>
    </row>
    <row r="96" spans="2:11" ht="30">
      <c r="B96" s="207" t="s">
        <v>638</v>
      </c>
      <c r="C96" s="31" t="s">
        <v>547</v>
      </c>
      <c r="D96" s="238" t="s">
        <v>785</v>
      </c>
      <c r="E96" s="26" t="s">
        <v>98</v>
      </c>
      <c r="F96" s="311" t="str">
        <f>HYPERLINK("http://www.catalogue.bosal.com/pdf/pdf_mi/050043.pdf","@")</f>
        <v>@</v>
      </c>
      <c r="G96" s="93"/>
      <c r="H96" s="110" t="s">
        <v>639</v>
      </c>
      <c r="I96" s="130" t="s">
        <v>786</v>
      </c>
      <c r="J96" s="334">
        <v>19019</v>
      </c>
      <c r="K96" s="335">
        <v>23203.18</v>
      </c>
    </row>
    <row r="97" spans="2:11" ht="23.25">
      <c r="B97" s="147"/>
      <c r="C97" s="172"/>
      <c r="D97" s="250" t="s">
        <v>131</v>
      </c>
      <c r="E97" s="151"/>
      <c r="F97" s="314"/>
      <c r="G97" s="173"/>
      <c r="H97" s="170"/>
      <c r="I97" s="174"/>
      <c r="J97" s="324"/>
      <c r="K97" s="326"/>
    </row>
    <row r="98" spans="2:11" ht="27">
      <c r="B98" s="207" t="s">
        <v>479</v>
      </c>
      <c r="C98" s="31"/>
      <c r="D98" s="238" t="s">
        <v>480</v>
      </c>
      <c r="E98" s="31"/>
      <c r="F98" s="311" t="str">
        <f>HYPERLINK("http://www.catalogue.bosal.com/pdf/pdf_mi/041248.pdf","@")</f>
        <v>@</v>
      </c>
      <c r="G98" s="97"/>
      <c r="H98" s="101"/>
      <c r="I98" s="102"/>
      <c r="J98" s="320">
        <v>11388</v>
      </c>
      <c r="K98" s="259">
        <v>13893.36</v>
      </c>
    </row>
    <row r="99" spans="2:11" ht="27">
      <c r="B99" s="207" t="s">
        <v>560</v>
      </c>
      <c r="C99" s="31"/>
      <c r="D99" s="238" t="s">
        <v>561</v>
      </c>
      <c r="E99" s="26"/>
      <c r="F99" s="311" t="str">
        <f>HYPERLINK("http://www.catalogue.bosal.com/pdf/pdf_mi/030238.pdf","@")</f>
        <v>@</v>
      </c>
      <c r="G99" s="94"/>
      <c r="H99" s="101"/>
      <c r="I99" s="101"/>
      <c r="J99" s="320">
        <v>7644</v>
      </c>
      <c r="K99" s="212">
        <v>9325.68</v>
      </c>
    </row>
    <row r="100" spans="2:11" ht="23.25">
      <c r="B100" s="207" t="s">
        <v>481</v>
      </c>
      <c r="C100" s="31"/>
      <c r="D100" s="238" t="s">
        <v>482</v>
      </c>
      <c r="E100" s="26"/>
      <c r="F100" s="312"/>
      <c r="G100" s="94"/>
      <c r="H100" s="101"/>
      <c r="I100" s="101"/>
      <c r="J100" s="334">
        <v>5055</v>
      </c>
      <c r="K100" s="335">
        <v>6320</v>
      </c>
    </row>
    <row r="101" spans="2:11" ht="30">
      <c r="B101" s="207" t="s">
        <v>33</v>
      </c>
      <c r="C101" s="31"/>
      <c r="D101" s="238" t="s">
        <v>789</v>
      </c>
      <c r="E101" s="26"/>
      <c r="F101" s="268"/>
      <c r="G101" s="94"/>
      <c r="H101" s="101"/>
      <c r="I101" s="101"/>
      <c r="J101" s="334">
        <v>962</v>
      </c>
      <c r="K101" s="335">
        <v>1173.6399999999999</v>
      </c>
    </row>
    <row r="102" spans="2:11" ht="30">
      <c r="B102" s="207" t="s">
        <v>562</v>
      </c>
      <c r="C102" s="31"/>
      <c r="D102" s="238" t="s">
        <v>563</v>
      </c>
      <c r="E102" s="26"/>
      <c r="F102" s="268"/>
      <c r="G102" s="94"/>
      <c r="H102" s="101"/>
      <c r="I102" s="101"/>
      <c r="J102" s="334">
        <v>429</v>
      </c>
      <c r="K102" s="335">
        <v>523.38</v>
      </c>
    </row>
    <row r="103" spans="2:11" ht="30">
      <c r="B103" s="207" t="s">
        <v>34</v>
      </c>
      <c r="C103" s="31"/>
      <c r="D103" s="238" t="s">
        <v>1348</v>
      </c>
      <c r="E103" s="26"/>
      <c r="F103" s="268"/>
      <c r="G103" s="94"/>
      <c r="H103" s="101"/>
      <c r="I103" s="101"/>
      <c r="J103" s="334">
        <v>1430</v>
      </c>
      <c r="K103" s="335">
        <v>1744.6</v>
      </c>
    </row>
    <row r="104" spans="2:11" ht="30">
      <c r="B104" s="207" t="s">
        <v>699</v>
      </c>
      <c r="C104" s="31"/>
      <c r="D104" s="238" t="s">
        <v>700</v>
      </c>
      <c r="E104" s="31"/>
      <c r="F104" s="191"/>
      <c r="G104" s="97"/>
      <c r="H104" s="101"/>
      <c r="I104" s="102"/>
      <c r="J104" s="334">
        <v>312</v>
      </c>
      <c r="K104" s="335">
        <v>380.64</v>
      </c>
    </row>
    <row r="105" spans="2:11" ht="30">
      <c r="B105" s="207" t="s">
        <v>696</v>
      </c>
      <c r="C105" s="31"/>
      <c r="D105" s="238" t="s">
        <v>698</v>
      </c>
      <c r="E105" s="31"/>
      <c r="F105" s="191"/>
      <c r="G105" s="97"/>
      <c r="H105" s="101"/>
      <c r="I105" s="102"/>
      <c r="J105" s="334">
        <v>598</v>
      </c>
      <c r="K105" s="335">
        <v>729.56</v>
      </c>
    </row>
    <row r="106" spans="2:11" ht="45">
      <c r="B106" s="207" t="s">
        <v>697</v>
      </c>
      <c r="C106" s="31"/>
      <c r="D106" s="238" t="s">
        <v>719</v>
      </c>
      <c r="E106" s="31"/>
      <c r="F106" s="191"/>
      <c r="G106" s="97"/>
      <c r="H106" s="101"/>
      <c r="I106" s="102"/>
      <c r="J106" s="334">
        <v>754</v>
      </c>
      <c r="K106" s="335">
        <v>919.88</v>
      </c>
    </row>
    <row r="107" spans="2:11" ht="40.5" customHeight="1">
      <c r="B107" s="207" t="s">
        <v>1381</v>
      </c>
      <c r="C107" s="31"/>
      <c r="D107" s="238" t="s">
        <v>1382</v>
      </c>
      <c r="E107" s="31"/>
      <c r="F107" s="191"/>
      <c r="G107" s="97"/>
      <c r="H107" s="101"/>
      <c r="I107" s="102"/>
      <c r="J107" s="334">
        <v>2200</v>
      </c>
      <c r="K107" s="335">
        <v>3200</v>
      </c>
    </row>
    <row r="108" spans="2:11" ht="23.25">
      <c r="B108" s="147"/>
      <c r="C108" s="172"/>
      <c r="D108" s="250" t="s">
        <v>133</v>
      </c>
      <c r="E108" s="151"/>
      <c r="F108" s="151"/>
      <c r="G108" s="173"/>
      <c r="H108" s="174"/>
      <c r="I108" s="174"/>
      <c r="J108" s="324"/>
      <c r="K108" s="326"/>
    </row>
    <row r="109" spans="2:11" ht="23.25">
      <c r="B109" s="207" t="s">
        <v>1249</v>
      </c>
      <c r="C109" s="294"/>
      <c r="D109" s="238" t="s">
        <v>1250</v>
      </c>
      <c r="E109" s="26"/>
      <c r="F109" s="268"/>
      <c r="G109" s="95"/>
      <c r="H109" s="110" t="s">
        <v>356</v>
      </c>
      <c r="I109" s="101"/>
      <c r="J109" s="334">
        <v>4530</v>
      </c>
      <c r="K109" s="335">
        <v>5670</v>
      </c>
    </row>
    <row r="110" spans="2:11" ht="30">
      <c r="B110" s="207" t="s">
        <v>564</v>
      </c>
      <c r="C110" s="294"/>
      <c r="D110" s="238" t="s">
        <v>792</v>
      </c>
      <c r="E110" s="26"/>
      <c r="F110" s="268"/>
      <c r="G110" s="95"/>
      <c r="H110" s="110" t="s">
        <v>356</v>
      </c>
      <c r="I110" s="101"/>
      <c r="J110" s="334">
        <v>10296</v>
      </c>
      <c r="K110" s="335">
        <v>12561.119999999999</v>
      </c>
    </row>
  </sheetData>
  <mergeCells count="1">
    <mergeCell ref="J4:K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IB158"/>
  <sheetViews>
    <sheetView zoomScale="75" workbookViewId="0">
      <selection activeCell="J3" sqref="J3"/>
    </sheetView>
  </sheetViews>
  <sheetFormatPr defaultColWidth="8.85546875" defaultRowHeight="15"/>
  <cols>
    <col min="1" max="1" width="2.28515625" style="131" customWidth="1"/>
    <col min="2" max="2" width="12.140625" style="48" customWidth="1"/>
    <col min="3" max="3" width="75.5703125" style="43" customWidth="1"/>
    <col min="4" max="4" width="26.42578125" style="43" customWidth="1"/>
    <col min="5" max="5" width="20.5703125" style="7" customWidth="1"/>
    <col min="6" max="6" width="16" style="235" customWidth="1"/>
    <col min="7" max="7" width="22.7109375" style="215" customWidth="1"/>
    <col min="8" max="8" width="16.85546875" style="132" customWidth="1"/>
    <col min="9" max="9" width="11.85546875" style="132" customWidth="1"/>
    <col min="10" max="10" width="12.42578125" style="132" customWidth="1"/>
    <col min="11" max="11" width="11" style="132" customWidth="1"/>
    <col min="12" max="12" width="11.5703125" style="87" customWidth="1"/>
    <col min="13" max="48" width="8.85546875" style="87" customWidth="1"/>
    <col min="49" max="16384" width="8.85546875" style="86"/>
  </cols>
  <sheetData>
    <row r="1" spans="1:236" s="87" customFormat="1" ht="104.25" customHeight="1">
      <c r="A1" s="131"/>
      <c r="B1" s="891" t="s">
        <v>805</v>
      </c>
      <c r="C1" s="891"/>
      <c r="D1" s="891"/>
      <c r="E1" s="891"/>
      <c r="F1" s="891"/>
      <c r="G1" s="891"/>
      <c r="H1" s="132"/>
      <c r="I1" s="132"/>
      <c r="J1" s="132"/>
      <c r="K1" s="132"/>
    </row>
    <row r="2" spans="1:236" s="87" customFormat="1" ht="23.25" customHeight="1" thickBot="1">
      <c r="A2" s="131"/>
      <c r="B2" s="884" t="s">
        <v>1291</v>
      </c>
      <c r="C2" s="884"/>
      <c r="D2" s="884"/>
      <c r="E2" s="884"/>
      <c r="F2" s="844"/>
      <c r="G2" s="844"/>
      <c r="H2" s="132"/>
      <c r="I2" s="132"/>
      <c r="J2" s="132"/>
      <c r="K2" s="132"/>
    </row>
    <row r="3" spans="1:236" s="136" customFormat="1" ht="39" customHeight="1" thickBot="1">
      <c r="A3" s="133"/>
      <c r="B3" s="19"/>
      <c r="C3" s="885" t="s">
        <v>53</v>
      </c>
      <c r="D3" s="887" t="s">
        <v>54</v>
      </c>
      <c r="E3" s="265"/>
      <c r="F3" s="889" t="s">
        <v>112</v>
      </c>
      <c r="G3" s="890"/>
      <c r="H3" s="134"/>
      <c r="I3" s="134"/>
      <c r="J3" s="134"/>
      <c r="K3" s="134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</row>
    <row r="4" spans="1:236" s="136" customFormat="1" ht="55.5" customHeight="1">
      <c r="A4" s="133"/>
      <c r="B4" s="19" t="s">
        <v>441</v>
      </c>
      <c r="C4" s="886"/>
      <c r="D4" s="888"/>
      <c r="E4" s="266" t="s">
        <v>55</v>
      </c>
      <c r="F4" s="270" t="s">
        <v>652</v>
      </c>
      <c r="G4" s="256" t="s">
        <v>113</v>
      </c>
      <c r="H4" s="134"/>
      <c r="I4" s="134"/>
      <c r="J4" s="134"/>
      <c r="K4" s="134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</row>
    <row r="5" spans="1:236" s="137" customFormat="1" ht="20.25" customHeight="1">
      <c r="A5" s="133"/>
      <c r="B5" s="147"/>
      <c r="C5" s="262"/>
      <c r="D5" s="262"/>
      <c r="E5" s="267"/>
      <c r="F5" s="271"/>
      <c r="G5" s="258"/>
      <c r="H5" s="134"/>
      <c r="I5" s="134"/>
      <c r="J5" s="134"/>
      <c r="K5" s="134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</row>
    <row r="6" spans="1:236" ht="47.25" customHeight="1">
      <c r="B6" s="19" t="s">
        <v>56</v>
      </c>
      <c r="C6" s="28" t="s">
        <v>57</v>
      </c>
      <c r="D6" s="26" t="s">
        <v>232</v>
      </c>
      <c r="E6" s="268" t="s">
        <v>58</v>
      </c>
      <c r="F6" s="272">
        <v>5490</v>
      </c>
      <c r="G6" s="259">
        <v>6860</v>
      </c>
      <c r="H6" s="257"/>
      <c r="I6" s="91"/>
      <c r="L6" s="91"/>
    </row>
    <row r="7" spans="1:236" s="85" customFormat="1" ht="33" customHeight="1">
      <c r="A7" s="131"/>
      <c r="B7" s="19" t="s">
        <v>59</v>
      </c>
      <c r="C7" s="28" t="s">
        <v>57</v>
      </c>
      <c r="D7" s="26" t="s">
        <v>60</v>
      </c>
      <c r="E7" s="268" t="s">
        <v>58</v>
      </c>
      <c r="F7" s="272">
        <v>5490</v>
      </c>
      <c r="G7" s="212">
        <v>6860</v>
      </c>
      <c r="H7" s="257"/>
      <c r="I7" s="91"/>
      <c r="J7" s="132"/>
      <c r="K7" s="132"/>
      <c r="L7" s="91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236" s="85" customFormat="1" ht="33" customHeight="1">
      <c r="A8" s="131"/>
      <c r="B8" s="207" t="s">
        <v>814</v>
      </c>
      <c r="C8" s="292" t="s">
        <v>816</v>
      </c>
      <c r="D8" s="26" t="s">
        <v>232</v>
      </c>
      <c r="E8" s="268" t="s">
        <v>817</v>
      </c>
      <c r="F8" s="272">
        <v>7710</v>
      </c>
      <c r="G8" s="212">
        <v>9640</v>
      </c>
      <c r="H8" s="257"/>
      <c r="I8" s="91"/>
      <c r="J8" s="132"/>
      <c r="K8" s="132"/>
      <c r="L8" s="91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</row>
    <row r="9" spans="1:236" s="85" customFormat="1" ht="33" customHeight="1">
      <c r="A9" s="131"/>
      <c r="B9" s="207" t="s">
        <v>815</v>
      </c>
      <c r="C9" s="292" t="s">
        <v>816</v>
      </c>
      <c r="D9" s="26" t="s">
        <v>60</v>
      </c>
      <c r="E9" s="268" t="s">
        <v>817</v>
      </c>
      <c r="F9" s="272">
        <v>7710</v>
      </c>
      <c r="G9" s="212">
        <v>9640</v>
      </c>
      <c r="H9" s="257"/>
      <c r="I9" s="91"/>
      <c r="J9" s="132"/>
      <c r="K9" s="132"/>
      <c r="L9" s="91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</row>
    <row r="10" spans="1:236" s="85" customFormat="1" ht="33" customHeight="1">
      <c r="A10" s="131"/>
      <c r="B10" s="207" t="s">
        <v>1464</v>
      </c>
      <c r="C10" s="203" t="s">
        <v>1467</v>
      </c>
      <c r="D10" s="26"/>
      <c r="E10" s="268"/>
      <c r="F10" s="272">
        <v>17900</v>
      </c>
      <c r="G10" s="212">
        <f>F10*1.25</f>
        <v>22375</v>
      </c>
      <c r="H10" s="257"/>
      <c r="I10" s="91"/>
      <c r="J10" s="132"/>
      <c r="K10" s="132"/>
      <c r="L10" s="91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</row>
    <row r="11" spans="1:236" s="85" customFormat="1" ht="33" customHeight="1">
      <c r="A11" s="131"/>
      <c r="B11" s="207" t="s">
        <v>1465</v>
      </c>
      <c r="C11" s="203" t="s">
        <v>1468</v>
      </c>
      <c r="D11" s="278"/>
      <c r="E11" s="268"/>
      <c r="F11" s="272">
        <v>20500</v>
      </c>
      <c r="G11" s="212">
        <f t="shared" ref="G11:G12" si="0">F11*1.25</f>
        <v>25625</v>
      </c>
      <c r="H11" s="257"/>
      <c r="I11" s="91"/>
      <c r="J11" s="132"/>
      <c r="K11" s="132"/>
      <c r="L11" s="91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</row>
    <row r="12" spans="1:236" s="85" customFormat="1" ht="33" customHeight="1">
      <c r="A12" s="131"/>
      <c r="B12" s="207" t="s">
        <v>1466</v>
      </c>
      <c r="C12" s="204" t="s">
        <v>1469</v>
      </c>
      <c r="D12" s="278"/>
      <c r="E12" s="268"/>
      <c r="F12" s="272">
        <v>25400</v>
      </c>
      <c r="G12" s="212">
        <f t="shared" si="0"/>
        <v>31750</v>
      </c>
      <c r="H12" s="257"/>
      <c r="I12" s="91"/>
      <c r="J12" s="132"/>
      <c r="K12" s="132"/>
      <c r="L12" s="91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</row>
    <row r="13" spans="1:236" s="85" customFormat="1" ht="33" customHeight="1">
      <c r="A13" s="131"/>
      <c r="B13" s="207" t="s">
        <v>565</v>
      </c>
      <c r="C13" s="194" t="s">
        <v>566</v>
      </c>
      <c r="D13" s="26"/>
      <c r="E13" s="268"/>
      <c r="F13" s="272">
        <v>1790</v>
      </c>
      <c r="G13" s="212">
        <v>2230</v>
      </c>
      <c r="H13" s="257"/>
      <c r="I13" s="91"/>
      <c r="J13" s="132"/>
      <c r="K13" s="132"/>
      <c r="L13" s="91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</row>
    <row r="14" spans="1:236" ht="18" customHeight="1">
      <c r="B14" s="166"/>
      <c r="C14" s="263"/>
      <c r="D14" s="263"/>
      <c r="E14" s="269"/>
      <c r="F14" s="273"/>
      <c r="G14" s="264"/>
      <c r="H14" s="257"/>
      <c r="I14" s="91"/>
      <c r="L14" s="91"/>
    </row>
    <row r="15" spans="1:236" s="88" customFormat="1" ht="20.25" customHeight="1" thickBot="1">
      <c r="A15" s="131"/>
      <c r="B15" s="19"/>
      <c r="C15" s="28"/>
      <c r="D15" s="28"/>
      <c r="E15" s="268"/>
      <c r="F15" s="274"/>
      <c r="G15" s="275"/>
      <c r="H15" s="132"/>
      <c r="I15" s="91"/>
      <c r="J15" s="132"/>
      <c r="K15" s="132"/>
      <c r="L15" s="91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</row>
    <row r="16" spans="1:236" s="87" customFormat="1" ht="15.75">
      <c r="A16" s="131"/>
      <c r="B16" s="64"/>
      <c r="C16" s="65"/>
      <c r="D16" s="65"/>
      <c r="E16" s="66"/>
      <c r="F16" s="234"/>
      <c r="G16" s="217"/>
      <c r="H16" s="132"/>
      <c r="I16" s="132"/>
      <c r="J16" s="132"/>
      <c r="K16" s="132"/>
    </row>
    <row r="17" spans="1:236" s="87" customFormat="1" ht="13.5" customHeight="1">
      <c r="A17" s="131"/>
      <c r="B17" s="63"/>
      <c r="C17" s="68"/>
      <c r="D17" s="68"/>
      <c r="E17" s="67"/>
      <c r="F17" s="218"/>
      <c r="G17" s="218"/>
      <c r="H17" s="132"/>
      <c r="I17" s="132"/>
      <c r="J17" s="132"/>
      <c r="K17" s="132"/>
    </row>
    <row r="18" spans="1:236" s="87" customFormat="1">
      <c r="A18" s="131"/>
      <c r="B18" s="61"/>
      <c r="C18" s="59"/>
      <c r="D18" s="59"/>
      <c r="E18" s="9"/>
      <c r="F18" s="233"/>
      <c r="G18" s="216"/>
      <c r="H18" s="132"/>
      <c r="I18" s="132"/>
      <c r="J18" s="132"/>
      <c r="K18" s="132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</row>
    <row r="19" spans="1:236" s="87" customFormat="1">
      <c r="A19" s="131"/>
      <c r="B19" s="61"/>
      <c r="C19" s="59"/>
      <c r="D19" s="59"/>
      <c r="E19" s="9"/>
      <c r="F19" s="233"/>
      <c r="G19" s="216"/>
      <c r="H19" s="132"/>
      <c r="I19" s="132"/>
      <c r="J19" s="132"/>
      <c r="K19" s="132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</row>
    <row r="20" spans="1:236" s="87" customFormat="1">
      <c r="A20" s="131"/>
      <c r="B20" s="61"/>
      <c r="C20" s="59"/>
      <c r="D20" s="59"/>
      <c r="E20" s="9"/>
      <c r="F20" s="233"/>
      <c r="G20" s="216"/>
      <c r="H20" s="132"/>
      <c r="I20" s="132"/>
      <c r="J20" s="132"/>
      <c r="K20" s="132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</row>
    <row r="21" spans="1:236" s="87" customFormat="1" ht="21" customHeight="1">
      <c r="A21" s="131"/>
      <c r="B21" s="61"/>
      <c r="C21" s="59"/>
      <c r="D21" s="59"/>
      <c r="E21" s="9"/>
      <c r="F21" s="233"/>
      <c r="G21" s="216"/>
      <c r="H21" s="132"/>
      <c r="I21" s="132"/>
      <c r="J21" s="132"/>
      <c r="K21" s="132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</row>
    <row r="22" spans="1:236" s="87" customFormat="1">
      <c r="A22" s="131"/>
      <c r="B22" s="61"/>
      <c r="C22" s="59"/>
      <c r="D22" s="59"/>
      <c r="E22" s="9"/>
      <c r="F22" s="233"/>
      <c r="G22" s="216"/>
      <c r="H22" s="132"/>
      <c r="I22" s="132"/>
      <c r="J22" s="132"/>
      <c r="K22" s="132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</row>
    <row r="23" spans="1:236" s="87" customFormat="1" ht="30" customHeight="1">
      <c r="A23" s="131"/>
      <c r="B23" s="61"/>
      <c r="C23" s="59"/>
      <c r="D23" s="59"/>
      <c r="E23" s="9"/>
      <c r="F23" s="233"/>
      <c r="G23" s="216"/>
      <c r="H23" s="132"/>
      <c r="I23" s="132"/>
      <c r="J23" s="132"/>
      <c r="K23" s="132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</row>
    <row r="24" spans="1:236" s="87" customFormat="1">
      <c r="A24" s="131"/>
      <c r="B24" s="61"/>
      <c r="C24" s="59"/>
      <c r="D24" s="59"/>
      <c r="E24" s="9"/>
      <c r="F24" s="233"/>
      <c r="G24" s="216"/>
      <c r="H24" s="132"/>
      <c r="I24" s="132"/>
      <c r="J24" s="132"/>
      <c r="K24" s="132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</row>
    <row r="25" spans="1:236" s="87" customFormat="1">
      <c r="A25" s="131"/>
      <c r="B25" s="61"/>
      <c r="C25" s="59"/>
      <c r="D25" s="59"/>
      <c r="E25" s="9"/>
      <c r="F25" s="233"/>
      <c r="G25" s="216"/>
      <c r="H25" s="132"/>
      <c r="I25" s="132"/>
      <c r="J25" s="132"/>
      <c r="K25" s="132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</row>
    <row r="26" spans="1:236" s="87" customFormat="1">
      <c r="A26" s="131"/>
      <c r="B26" s="61"/>
      <c r="C26" s="59"/>
      <c r="D26" s="59"/>
      <c r="E26" s="9"/>
      <c r="F26" s="233"/>
      <c r="G26" s="216"/>
      <c r="H26" s="132"/>
      <c r="I26" s="132"/>
      <c r="J26" s="132"/>
      <c r="K26" s="132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</row>
    <row r="27" spans="1:236" s="87" customFormat="1">
      <c r="A27" s="131"/>
      <c r="B27" s="61"/>
      <c r="C27" s="59"/>
      <c r="D27" s="59"/>
      <c r="E27" s="9"/>
      <c r="F27" s="233"/>
      <c r="G27" s="216"/>
      <c r="H27" s="132"/>
      <c r="I27" s="132"/>
      <c r="J27" s="132"/>
      <c r="K27" s="132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</row>
    <row r="28" spans="1:236" s="87" customFormat="1">
      <c r="A28" s="131"/>
      <c r="B28" s="61"/>
      <c r="C28" s="59"/>
      <c r="D28" s="59"/>
      <c r="E28" s="9"/>
      <c r="F28" s="233"/>
      <c r="G28" s="216"/>
      <c r="H28" s="132"/>
      <c r="I28" s="132"/>
      <c r="J28" s="132"/>
      <c r="K28" s="132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</row>
    <row r="29" spans="1:236" s="87" customFormat="1">
      <c r="A29" s="131"/>
      <c r="B29" s="61"/>
      <c r="C29" s="59"/>
      <c r="D29" s="59"/>
      <c r="E29" s="9"/>
      <c r="F29" s="233"/>
      <c r="G29" s="216"/>
      <c r="H29" s="132"/>
      <c r="I29" s="132"/>
      <c r="J29" s="132"/>
      <c r="K29" s="132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</row>
    <row r="30" spans="1:236" s="87" customFormat="1">
      <c r="A30" s="131"/>
      <c r="B30" s="61"/>
      <c r="C30" s="59"/>
      <c r="D30" s="59"/>
      <c r="E30" s="9"/>
      <c r="F30" s="233"/>
      <c r="G30" s="216"/>
      <c r="H30" s="132"/>
      <c r="I30" s="132"/>
      <c r="J30" s="132"/>
      <c r="K30" s="132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</row>
    <row r="31" spans="1:236" s="87" customFormat="1">
      <c r="A31" s="131"/>
      <c r="B31" s="61"/>
      <c r="C31" s="59"/>
      <c r="D31" s="59"/>
      <c r="E31" s="9"/>
      <c r="F31" s="233"/>
      <c r="G31" s="216"/>
      <c r="H31" s="132"/>
      <c r="I31" s="132"/>
      <c r="J31" s="132"/>
      <c r="K31" s="132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</row>
    <row r="32" spans="1:236" s="87" customFormat="1">
      <c r="A32" s="131"/>
      <c r="B32" s="61"/>
      <c r="C32" s="59"/>
      <c r="D32" s="59"/>
      <c r="E32" s="9"/>
      <c r="F32" s="233"/>
      <c r="G32" s="216"/>
      <c r="H32" s="132"/>
      <c r="I32" s="132"/>
      <c r="J32" s="132"/>
      <c r="K32" s="132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</row>
    <row r="33" spans="1:236" s="87" customFormat="1">
      <c r="A33" s="131"/>
      <c r="B33" s="61"/>
      <c r="C33" s="59"/>
      <c r="D33" s="59"/>
      <c r="E33" s="9"/>
      <c r="F33" s="233"/>
      <c r="G33" s="216"/>
      <c r="H33" s="132"/>
      <c r="I33" s="132"/>
      <c r="J33" s="132"/>
      <c r="K33" s="132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</row>
    <row r="34" spans="1:236" s="87" customFormat="1">
      <c r="A34" s="131"/>
      <c r="B34" s="61"/>
      <c r="C34" s="59"/>
      <c r="D34" s="59"/>
      <c r="E34" s="9"/>
      <c r="F34" s="233"/>
      <c r="G34" s="216"/>
      <c r="H34" s="132"/>
      <c r="I34" s="132"/>
      <c r="J34" s="132"/>
      <c r="K34" s="132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</row>
    <row r="35" spans="1:236" s="87" customFormat="1">
      <c r="A35" s="131"/>
      <c r="B35" s="61"/>
      <c r="C35" s="59"/>
      <c r="D35" s="59"/>
      <c r="E35" s="9"/>
      <c r="F35" s="233"/>
      <c r="G35" s="216"/>
      <c r="H35" s="132"/>
      <c r="I35" s="132"/>
      <c r="J35" s="132"/>
      <c r="K35" s="132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</row>
    <row r="36" spans="1:236" s="87" customFormat="1">
      <c r="A36" s="131"/>
      <c r="B36" s="61"/>
      <c r="C36" s="59"/>
      <c r="D36" s="59"/>
      <c r="E36" s="9"/>
      <c r="F36" s="233"/>
      <c r="G36" s="216"/>
      <c r="H36" s="132"/>
      <c r="I36" s="132"/>
      <c r="J36" s="132"/>
      <c r="K36" s="132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</row>
    <row r="37" spans="1:236" s="87" customFormat="1">
      <c r="A37" s="131"/>
      <c r="B37" s="61"/>
      <c r="C37" s="59"/>
      <c r="D37" s="59"/>
      <c r="E37" s="9"/>
      <c r="F37" s="233"/>
      <c r="G37" s="216"/>
      <c r="H37" s="132"/>
      <c r="I37" s="132"/>
      <c r="J37" s="132"/>
      <c r="K37" s="132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</row>
    <row r="38" spans="1:236" s="87" customFormat="1">
      <c r="A38" s="131"/>
      <c r="B38" s="61"/>
      <c r="C38" s="59"/>
      <c r="D38" s="59"/>
      <c r="E38" s="9"/>
      <c r="F38" s="233"/>
      <c r="G38" s="216"/>
      <c r="H38" s="132"/>
      <c r="I38" s="132"/>
      <c r="J38" s="132"/>
      <c r="K38" s="132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</row>
    <row r="39" spans="1:236" s="87" customFormat="1">
      <c r="A39" s="131"/>
      <c r="B39" s="61"/>
      <c r="C39" s="59"/>
      <c r="D39" s="59"/>
      <c r="E39" s="9"/>
      <c r="F39" s="233"/>
      <c r="G39" s="216"/>
      <c r="H39" s="132"/>
      <c r="I39" s="132"/>
      <c r="J39" s="132"/>
      <c r="K39" s="132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</row>
    <row r="40" spans="1:236" s="87" customFormat="1">
      <c r="A40" s="131"/>
      <c r="B40" s="61"/>
      <c r="C40" s="59"/>
      <c r="D40" s="59"/>
      <c r="E40" s="9"/>
      <c r="F40" s="233"/>
      <c r="G40" s="216"/>
      <c r="H40" s="132"/>
      <c r="I40" s="132"/>
      <c r="J40" s="132"/>
      <c r="K40" s="132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</row>
    <row r="41" spans="1:236" s="87" customFormat="1">
      <c r="A41" s="131"/>
      <c r="B41" s="61"/>
      <c r="C41" s="59"/>
      <c r="D41" s="59"/>
      <c r="E41" s="9"/>
      <c r="F41" s="233"/>
      <c r="G41" s="216"/>
      <c r="H41" s="132"/>
      <c r="I41" s="132"/>
      <c r="J41" s="132"/>
      <c r="K41" s="132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</row>
    <row r="42" spans="1:236" s="87" customFormat="1">
      <c r="A42" s="131"/>
      <c r="B42" s="61"/>
      <c r="C42" s="59"/>
      <c r="D42" s="59"/>
      <c r="E42" s="9"/>
      <c r="F42" s="233"/>
      <c r="G42" s="216"/>
      <c r="H42" s="132"/>
      <c r="I42" s="132"/>
      <c r="J42" s="132"/>
      <c r="K42" s="132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</row>
    <row r="43" spans="1:236" s="87" customFormat="1">
      <c r="A43" s="131"/>
      <c r="B43" s="61"/>
      <c r="C43" s="59"/>
      <c r="D43" s="59"/>
      <c r="E43" s="9"/>
      <c r="F43" s="233"/>
      <c r="G43" s="216"/>
      <c r="H43" s="132"/>
      <c r="I43" s="132"/>
      <c r="J43" s="132"/>
      <c r="K43" s="132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</row>
    <row r="44" spans="1:236" s="87" customFormat="1">
      <c r="A44" s="131"/>
      <c r="B44" s="61"/>
      <c r="C44" s="59"/>
      <c r="D44" s="59"/>
      <c r="E44" s="9"/>
      <c r="F44" s="233"/>
      <c r="G44" s="216"/>
      <c r="H44" s="132"/>
      <c r="I44" s="132"/>
      <c r="J44" s="132"/>
      <c r="K44" s="132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</row>
    <row r="45" spans="1:236" s="87" customFormat="1">
      <c r="A45" s="131"/>
      <c r="B45" s="61"/>
      <c r="C45" s="59"/>
      <c r="D45" s="59"/>
      <c r="E45" s="9"/>
      <c r="F45" s="233"/>
      <c r="G45" s="216"/>
      <c r="H45" s="132"/>
      <c r="I45" s="132"/>
      <c r="J45" s="132"/>
      <c r="K45" s="132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</row>
    <row r="46" spans="1:236" s="87" customFormat="1">
      <c r="A46" s="131"/>
      <c r="B46" s="61"/>
      <c r="C46" s="59"/>
      <c r="D46" s="59"/>
      <c r="E46" s="9"/>
      <c r="F46" s="233"/>
      <c r="G46" s="216"/>
      <c r="H46" s="132"/>
      <c r="I46" s="132"/>
      <c r="J46" s="132"/>
      <c r="K46" s="132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</row>
    <row r="47" spans="1:236" s="87" customFormat="1">
      <c r="A47" s="131"/>
      <c r="B47" s="61"/>
      <c r="C47" s="59"/>
      <c r="D47" s="59"/>
      <c r="E47" s="9"/>
      <c r="F47" s="233"/>
      <c r="G47" s="216"/>
      <c r="H47" s="132"/>
      <c r="I47" s="132"/>
      <c r="J47" s="132"/>
      <c r="K47" s="132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</row>
    <row r="48" spans="1:236" s="87" customFormat="1">
      <c r="A48" s="131"/>
      <c r="B48" s="61"/>
      <c r="C48" s="59"/>
      <c r="D48" s="59"/>
      <c r="E48" s="9"/>
      <c r="F48" s="233"/>
      <c r="G48" s="216"/>
      <c r="H48" s="132"/>
      <c r="I48" s="132"/>
      <c r="J48" s="132"/>
      <c r="K48" s="132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</row>
    <row r="49" spans="1:236" s="87" customFormat="1">
      <c r="A49" s="131"/>
      <c r="B49" s="61"/>
      <c r="C49" s="59"/>
      <c r="D49" s="59"/>
      <c r="E49" s="9"/>
      <c r="F49" s="233"/>
      <c r="G49" s="216"/>
      <c r="H49" s="132"/>
      <c r="I49" s="132"/>
      <c r="J49" s="132"/>
      <c r="K49" s="132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</row>
    <row r="50" spans="1:236" s="87" customFormat="1">
      <c r="A50" s="131"/>
      <c r="B50" s="61"/>
      <c r="C50" s="59"/>
      <c r="D50" s="59"/>
      <c r="E50" s="9"/>
      <c r="F50" s="233"/>
      <c r="G50" s="216"/>
      <c r="H50" s="132"/>
      <c r="I50" s="132"/>
      <c r="J50" s="132"/>
      <c r="K50" s="132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</row>
    <row r="51" spans="1:236" s="87" customFormat="1">
      <c r="A51" s="131"/>
      <c r="B51" s="61"/>
      <c r="C51" s="59"/>
      <c r="D51" s="59"/>
      <c r="E51" s="9"/>
      <c r="F51" s="233"/>
      <c r="G51" s="216"/>
      <c r="H51" s="132"/>
      <c r="I51" s="132"/>
      <c r="J51" s="132"/>
      <c r="K51" s="132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</row>
    <row r="52" spans="1:236" s="87" customFormat="1">
      <c r="A52" s="131"/>
      <c r="B52" s="61"/>
      <c r="C52" s="59"/>
      <c r="D52" s="59"/>
      <c r="E52" s="9"/>
      <c r="F52" s="233"/>
      <c r="G52" s="216"/>
      <c r="H52" s="132"/>
      <c r="I52" s="132"/>
      <c r="J52" s="132"/>
      <c r="K52" s="132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</row>
    <row r="53" spans="1:236" s="87" customFormat="1">
      <c r="A53" s="131"/>
      <c r="B53" s="61"/>
      <c r="C53" s="59"/>
      <c r="D53" s="59"/>
      <c r="E53" s="9"/>
      <c r="F53" s="233"/>
      <c r="G53" s="216"/>
      <c r="H53" s="132"/>
      <c r="I53" s="132"/>
      <c r="J53" s="132"/>
      <c r="K53" s="132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</row>
    <row r="54" spans="1:236" s="87" customFormat="1">
      <c r="A54" s="131"/>
      <c r="B54" s="61"/>
      <c r="C54" s="59"/>
      <c r="D54" s="59"/>
      <c r="E54" s="9"/>
      <c r="F54" s="233"/>
      <c r="G54" s="216"/>
      <c r="H54" s="132"/>
      <c r="I54" s="132"/>
      <c r="J54" s="132"/>
      <c r="K54" s="132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</row>
    <row r="55" spans="1:236" s="87" customFormat="1">
      <c r="A55" s="131"/>
      <c r="B55" s="61"/>
      <c r="C55" s="59"/>
      <c r="D55" s="59"/>
      <c r="E55" s="9"/>
      <c r="F55" s="233"/>
      <c r="G55" s="216"/>
      <c r="H55" s="132"/>
      <c r="I55" s="132"/>
      <c r="J55" s="132"/>
      <c r="K55" s="132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</row>
    <row r="56" spans="1:236" s="87" customFormat="1">
      <c r="A56" s="131"/>
      <c r="B56" s="61"/>
      <c r="C56" s="59"/>
      <c r="D56" s="59"/>
      <c r="E56" s="9"/>
      <c r="F56" s="233"/>
      <c r="G56" s="216"/>
      <c r="H56" s="132"/>
      <c r="I56" s="132"/>
      <c r="J56" s="132"/>
      <c r="K56" s="132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</row>
    <row r="57" spans="1:236" s="87" customFormat="1">
      <c r="A57" s="131"/>
      <c r="B57" s="61"/>
      <c r="C57" s="59"/>
      <c r="D57" s="59"/>
      <c r="E57" s="9"/>
      <c r="F57" s="233"/>
      <c r="G57" s="216"/>
      <c r="H57" s="132"/>
      <c r="I57" s="132"/>
      <c r="J57" s="132"/>
      <c r="K57" s="132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</row>
    <row r="58" spans="1:236" s="87" customFormat="1">
      <c r="A58" s="131"/>
      <c r="B58" s="61"/>
      <c r="C58" s="59"/>
      <c r="D58" s="59"/>
      <c r="E58" s="9"/>
      <c r="F58" s="233"/>
      <c r="G58" s="216"/>
      <c r="H58" s="132"/>
      <c r="I58" s="132"/>
      <c r="J58" s="132"/>
      <c r="K58" s="132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</row>
    <row r="59" spans="1:236" s="87" customFormat="1">
      <c r="A59" s="131"/>
      <c r="B59" s="61"/>
      <c r="C59" s="59"/>
      <c r="D59" s="59"/>
      <c r="E59" s="9"/>
      <c r="F59" s="233"/>
      <c r="G59" s="216"/>
      <c r="H59" s="132"/>
      <c r="I59" s="132"/>
      <c r="J59" s="132"/>
      <c r="K59" s="132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</row>
    <row r="60" spans="1:236" s="87" customFormat="1">
      <c r="A60" s="131"/>
      <c r="B60" s="61"/>
      <c r="C60" s="59"/>
      <c r="D60" s="59"/>
      <c r="E60" s="9"/>
      <c r="F60" s="233"/>
      <c r="G60" s="216"/>
      <c r="H60" s="132"/>
      <c r="I60" s="132"/>
      <c r="J60" s="132"/>
      <c r="K60" s="132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</row>
    <row r="61" spans="1:236" s="87" customFormat="1">
      <c r="A61" s="131"/>
      <c r="B61" s="61"/>
      <c r="C61" s="59"/>
      <c r="D61" s="59"/>
      <c r="E61" s="9"/>
      <c r="F61" s="233"/>
      <c r="G61" s="216"/>
      <c r="H61" s="132"/>
      <c r="I61" s="132"/>
      <c r="J61" s="132"/>
      <c r="K61" s="132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</row>
    <row r="62" spans="1:236" s="87" customFormat="1">
      <c r="A62" s="131"/>
      <c r="B62" s="61"/>
      <c r="C62" s="59"/>
      <c r="D62" s="59"/>
      <c r="E62" s="9"/>
      <c r="F62" s="233"/>
      <c r="G62" s="216"/>
      <c r="H62" s="132"/>
      <c r="I62" s="132"/>
      <c r="J62" s="132"/>
      <c r="K62" s="132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</row>
    <row r="63" spans="1:236" s="87" customFormat="1">
      <c r="A63" s="131"/>
      <c r="B63" s="61"/>
      <c r="C63" s="59"/>
      <c r="D63" s="59"/>
      <c r="E63" s="9"/>
      <c r="F63" s="233"/>
      <c r="G63" s="216"/>
      <c r="H63" s="132"/>
      <c r="I63" s="132"/>
      <c r="J63" s="132"/>
      <c r="K63" s="132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</row>
    <row r="64" spans="1:236" s="87" customFormat="1">
      <c r="A64" s="131"/>
      <c r="B64" s="61"/>
      <c r="C64" s="59"/>
      <c r="D64" s="59"/>
      <c r="E64" s="9"/>
      <c r="F64" s="233"/>
      <c r="G64" s="216"/>
      <c r="H64" s="132"/>
      <c r="I64" s="132"/>
      <c r="J64" s="132"/>
      <c r="K64" s="132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</row>
    <row r="65" spans="1:236" s="87" customFormat="1">
      <c r="A65" s="131"/>
      <c r="B65" s="61"/>
      <c r="C65" s="59"/>
      <c r="D65" s="59"/>
      <c r="E65" s="9"/>
      <c r="F65" s="233"/>
      <c r="G65" s="216"/>
      <c r="H65" s="132"/>
      <c r="I65" s="132"/>
      <c r="J65" s="132"/>
      <c r="K65" s="132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</row>
    <row r="66" spans="1:236" s="87" customFormat="1">
      <c r="A66" s="131"/>
      <c r="B66" s="61"/>
      <c r="C66" s="59"/>
      <c r="D66" s="59"/>
      <c r="E66" s="9"/>
      <c r="F66" s="233"/>
      <c r="G66" s="216"/>
      <c r="H66" s="132"/>
      <c r="I66" s="132"/>
      <c r="J66" s="132"/>
      <c r="K66" s="132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</row>
    <row r="67" spans="1:236" s="87" customFormat="1">
      <c r="A67" s="131"/>
      <c r="B67" s="61"/>
      <c r="C67" s="59"/>
      <c r="D67" s="59"/>
      <c r="E67" s="9"/>
      <c r="F67" s="233"/>
      <c r="G67" s="216"/>
      <c r="H67" s="132"/>
      <c r="I67" s="132"/>
      <c r="J67" s="132"/>
      <c r="K67" s="132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</row>
    <row r="68" spans="1:236" s="87" customFormat="1">
      <c r="A68" s="131"/>
      <c r="B68" s="61"/>
      <c r="C68" s="59"/>
      <c r="D68" s="59"/>
      <c r="E68" s="9"/>
      <c r="F68" s="233"/>
      <c r="G68" s="216"/>
      <c r="H68" s="132"/>
      <c r="I68" s="132"/>
      <c r="J68" s="132"/>
      <c r="K68" s="132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</row>
    <row r="69" spans="1:236" s="87" customFormat="1">
      <c r="A69" s="131"/>
      <c r="B69" s="61"/>
      <c r="C69" s="59"/>
      <c r="D69" s="59"/>
      <c r="E69" s="9"/>
      <c r="F69" s="233"/>
      <c r="G69" s="216"/>
      <c r="H69" s="132"/>
      <c r="I69" s="132"/>
      <c r="J69" s="132"/>
      <c r="K69" s="132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</row>
    <row r="70" spans="1:236" s="87" customFormat="1">
      <c r="A70" s="131"/>
      <c r="B70" s="61"/>
      <c r="C70" s="59"/>
      <c r="D70" s="59"/>
      <c r="E70" s="9"/>
      <c r="F70" s="233"/>
      <c r="G70" s="216"/>
      <c r="H70" s="132"/>
      <c r="I70" s="132"/>
      <c r="J70" s="132"/>
      <c r="K70" s="132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</row>
    <row r="71" spans="1:236" s="87" customFormat="1">
      <c r="A71" s="131"/>
      <c r="B71" s="61"/>
      <c r="C71" s="59"/>
      <c r="D71" s="59"/>
      <c r="E71" s="9"/>
      <c r="F71" s="233"/>
      <c r="G71" s="216"/>
      <c r="H71" s="132"/>
      <c r="I71" s="132"/>
      <c r="J71" s="132"/>
      <c r="K71" s="132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</row>
    <row r="72" spans="1:236" s="87" customFormat="1">
      <c r="A72" s="131"/>
      <c r="B72" s="61"/>
      <c r="C72" s="59"/>
      <c r="D72" s="59"/>
      <c r="E72" s="9"/>
      <c r="F72" s="233"/>
      <c r="G72" s="216"/>
      <c r="H72" s="132"/>
      <c r="I72" s="132"/>
      <c r="J72" s="132"/>
      <c r="K72" s="132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</row>
    <row r="73" spans="1:236" s="87" customFormat="1">
      <c r="A73" s="131"/>
      <c r="B73" s="61"/>
      <c r="C73" s="59"/>
      <c r="D73" s="59"/>
      <c r="E73" s="9"/>
      <c r="F73" s="233"/>
      <c r="G73" s="216"/>
      <c r="H73" s="132"/>
      <c r="I73" s="132"/>
      <c r="J73" s="132"/>
      <c r="K73" s="132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</row>
    <row r="74" spans="1:236" s="87" customFormat="1">
      <c r="A74" s="131"/>
      <c r="B74" s="61"/>
      <c r="C74" s="59"/>
      <c r="D74" s="59"/>
      <c r="E74" s="9"/>
      <c r="F74" s="233"/>
      <c r="G74" s="216"/>
      <c r="H74" s="132"/>
      <c r="I74" s="132"/>
      <c r="J74" s="132"/>
      <c r="K74" s="132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</row>
    <row r="75" spans="1:236" s="87" customFormat="1">
      <c r="A75" s="131"/>
      <c r="B75" s="61"/>
      <c r="C75" s="59"/>
      <c r="D75" s="59"/>
      <c r="E75" s="9"/>
      <c r="F75" s="233"/>
      <c r="G75" s="216"/>
      <c r="H75" s="132"/>
      <c r="I75" s="132"/>
      <c r="J75" s="132"/>
      <c r="K75" s="132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</row>
    <row r="76" spans="1:236" s="87" customFormat="1">
      <c r="A76" s="131"/>
      <c r="B76" s="61"/>
      <c r="C76" s="59"/>
      <c r="D76" s="59"/>
      <c r="E76" s="9"/>
      <c r="F76" s="233"/>
      <c r="G76" s="216"/>
      <c r="H76" s="132"/>
      <c r="I76" s="132"/>
      <c r="J76" s="132"/>
      <c r="K76" s="132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</row>
    <row r="77" spans="1:236" s="87" customFormat="1">
      <c r="A77" s="131"/>
      <c r="B77" s="61"/>
      <c r="C77" s="59"/>
      <c r="D77" s="59"/>
      <c r="E77" s="9"/>
      <c r="F77" s="233"/>
      <c r="G77" s="216"/>
      <c r="H77" s="132"/>
      <c r="I77" s="132"/>
      <c r="J77" s="132"/>
      <c r="K77" s="132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</row>
    <row r="78" spans="1:236" s="87" customFormat="1">
      <c r="A78" s="131"/>
      <c r="B78" s="61"/>
      <c r="C78" s="59"/>
      <c r="D78" s="59"/>
      <c r="E78" s="9"/>
      <c r="F78" s="233"/>
      <c r="G78" s="216"/>
      <c r="H78" s="132"/>
      <c r="I78" s="132"/>
      <c r="J78" s="132"/>
      <c r="K78" s="132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</row>
    <row r="79" spans="1:236" s="87" customFormat="1">
      <c r="A79" s="131"/>
      <c r="B79" s="61"/>
      <c r="C79" s="59"/>
      <c r="D79" s="59"/>
      <c r="E79" s="9"/>
      <c r="F79" s="233"/>
      <c r="G79" s="216"/>
      <c r="H79" s="132"/>
      <c r="I79" s="132"/>
      <c r="J79" s="132"/>
      <c r="K79" s="132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</row>
    <row r="80" spans="1:236" s="87" customFormat="1">
      <c r="A80" s="131"/>
      <c r="B80" s="61"/>
      <c r="C80" s="59"/>
      <c r="D80" s="59"/>
      <c r="E80" s="9"/>
      <c r="F80" s="233"/>
      <c r="G80" s="216"/>
      <c r="H80" s="132"/>
      <c r="I80" s="132"/>
      <c r="J80" s="132"/>
      <c r="K80" s="132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</row>
    <row r="81" spans="1:236" s="87" customFormat="1">
      <c r="A81" s="131"/>
      <c r="B81" s="61"/>
      <c r="C81" s="59"/>
      <c r="D81" s="59"/>
      <c r="E81" s="9"/>
      <c r="F81" s="233"/>
      <c r="G81" s="216"/>
      <c r="H81" s="132"/>
      <c r="I81" s="132"/>
      <c r="J81" s="132"/>
      <c r="K81" s="132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</row>
    <row r="82" spans="1:236" s="87" customFormat="1">
      <c r="A82" s="131"/>
      <c r="B82" s="61"/>
      <c r="C82" s="59"/>
      <c r="D82" s="59"/>
      <c r="E82" s="9"/>
      <c r="F82" s="233"/>
      <c r="G82" s="216"/>
      <c r="H82" s="132"/>
      <c r="I82" s="132"/>
      <c r="J82" s="132"/>
      <c r="K82" s="132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</row>
    <row r="83" spans="1:236" s="87" customFormat="1">
      <c r="A83" s="131"/>
      <c r="B83" s="61"/>
      <c r="C83" s="59"/>
      <c r="D83" s="59"/>
      <c r="E83" s="9"/>
      <c r="F83" s="233"/>
      <c r="G83" s="216"/>
      <c r="H83" s="132"/>
      <c r="I83" s="132"/>
      <c r="J83" s="132"/>
      <c r="K83" s="132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</row>
    <row r="84" spans="1:236" s="87" customFormat="1">
      <c r="A84" s="131"/>
      <c r="B84" s="61"/>
      <c r="C84" s="59"/>
      <c r="D84" s="59"/>
      <c r="E84" s="9"/>
      <c r="F84" s="233"/>
      <c r="G84" s="216"/>
      <c r="H84" s="132"/>
      <c r="I84" s="132"/>
      <c r="J84" s="132"/>
      <c r="K84" s="132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</row>
    <row r="85" spans="1:236" s="87" customFormat="1">
      <c r="A85" s="131"/>
      <c r="B85" s="61"/>
      <c r="C85" s="59"/>
      <c r="D85" s="59"/>
      <c r="E85" s="9"/>
      <c r="F85" s="233"/>
      <c r="G85" s="216"/>
      <c r="H85" s="132"/>
      <c r="I85" s="132"/>
      <c r="J85" s="132"/>
      <c r="K85" s="132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</row>
    <row r="86" spans="1:236" s="87" customFormat="1">
      <c r="A86" s="131"/>
      <c r="B86" s="61"/>
      <c r="C86" s="59"/>
      <c r="D86" s="59"/>
      <c r="E86" s="9"/>
      <c r="F86" s="233"/>
      <c r="G86" s="216"/>
      <c r="H86" s="132"/>
      <c r="I86" s="132"/>
      <c r="J86" s="132"/>
      <c r="K86" s="132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</row>
    <row r="87" spans="1:236" s="87" customFormat="1">
      <c r="A87" s="131"/>
      <c r="B87" s="61"/>
      <c r="C87" s="59"/>
      <c r="D87" s="59"/>
      <c r="E87" s="9"/>
      <c r="F87" s="233"/>
      <c r="G87" s="216"/>
      <c r="H87" s="132"/>
      <c r="I87" s="132"/>
      <c r="J87" s="132"/>
      <c r="K87" s="132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</row>
    <row r="88" spans="1:236" s="87" customFormat="1">
      <c r="A88" s="131"/>
      <c r="B88" s="61"/>
      <c r="C88" s="59"/>
      <c r="D88" s="59"/>
      <c r="E88" s="9"/>
      <c r="F88" s="233"/>
      <c r="G88" s="216"/>
      <c r="H88" s="132"/>
      <c r="I88" s="132"/>
      <c r="J88" s="132"/>
      <c r="K88" s="132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</row>
    <row r="89" spans="1:236" s="87" customFormat="1">
      <c r="A89" s="131"/>
      <c r="B89" s="61"/>
      <c r="C89" s="59"/>
      <c r="D89" s="59"/>
      <c r="E89" s="9"/>
      <c r="F89" s="233"/>
      <c r="G89" s="216"/>
      <c r="H89" s="132"/>
      <c r="I89" s="132"/>
      <c r="J89" s="132"/>
      <c r="K89" s="132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</row>
    <row r="90" spans="1:236" s="87" customFormat="1">
      <c r="A90" s="131"/>
      <c r="B90" s="61"/>
      <c r="C90" s="59"/>
      <c r="D90" s="59"/>
      <c r="E90" s="9"/>
      <c r="F90" s="233"/>
      <c r="G90" s="216"/>
      <c r="H90" s="132"/>
      <c r="I90" s="132"/>
      <c r="J90" s="132"/>
      <c r="K90" s="132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</row>
    <row r="91" spans="1:236" s="87" customFormat="1">
      <c r="A91" s="131"/>
      <c r="B91" s="61"/>
      <c r="C91" s="59"/>
      <c r="D91" s="59"/>
      <c r="E91" s="9"/>
      <c r="F91" s="233"/>
      <c r="G91" s="216"/>
      <c r="H91" s="132"/>
      <c r="I91" s="132"/>
      <c r="J91" s="132"/>
      <c r="K91" s="132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</row>
    <row r="92" spans="1:236" s="87" customFormat="1">
      <c r="A92" s="131"/>
      <c r="B92" s="61"/>
      <c r="C92" s="59"/>
      <c r="D92" s="59"/>
      <c r="E92" s="9"/>
      <c r="F92" s="233"/>
      <c r="G92" s="216"/>
      <c r="H92" s="132"/>
      <c r="I92" s="132"/>
      <c r="J92" s="132"/>
      <c r="K92" s="132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</row>
    <row r="93" spans="1:236" s="87" customFormat="1">
      <c r="A93" s="131"/>
      <c r="B93" s="61"/>
      <c r="C93" s="59"/>
      <c r="D93" s="59"/>
      <c r="E93" s="9"/>
      <c r="F93" s="233"/>
      <c r="G93" s="216"/>
      <c r="H93" s="132"/>
      <c r="I93" s="132"/>
      <c r="J93" s="132"/>
      <c r="K93" s="132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</row>
    <row r="94" spans="1:236" s="87" customFormat="1">
      <c r="A94" s="131"/>
      <c r="B94" s="61"/>
      <c r="C94" s="59"/>
      <c r="D94" s="59"/>
      <c r="E94" s="9"/>
      <c r="F94" s="233"/>
      <c r="G94" s="216"/>
      <c r="H94" s="132"/>
      <c r="I94" s="132"/>
      <c r="J94" s="132"/>
      <c r="K94" s="132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</row>
    <row r="95" spans="1:236" s="87" customFormat="1">
      <c r="A95" s="131"/>
      <c r="B95" s="61"/>
      <c r="C95" s="59"/>
      <c r="D95" s="59"/>
      <c r="E95" s="9"/>
      <c r="F95" s="233"/>
      <c r="G95" s="216"/>
      <c r="H95" s="132"/>
      <c r="I95" s="132"/>
      <c r="J95" s="132"/>
      <c r="K95" s="132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</row>
    <row r="96" spans="1:236" s="87" customFormat="1">
      <c r="A96" s="131"/>
      <c r="B96" s="61"/>
      <c r="C96" s="59"/>
      <c r="D96" s="59"/>
      <c r="E96" s="9"/>
      <c r="F96" s="233"/>
      <c r="G96" s="216"/>
      <c r="H96" s="132"/>
      <c r="I96" s="132"/>
      <c r="J96" s="132"/>
      <c r="K96" s="132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</row>
    <row r="97" spans="1:236" s="87" customFormat="1">
      <c r="A97" s="131"/>
      <c r="B97" s="61"/>
      <c r="C97" s="59"/>
      <c r="D97" s="59"/>
      <c r="E97" s="9"/>
      <c r="F97" s="233"/>
      <c r="G97" s="216"/>
      <c r="H97" s="132"/>
      <c r="I97" s="132"/>
      <c r="J97" s="132"/>
      <c r="K97" s="132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</row>
    <row r="98" spans="1:236" s="87" customFormat="1">
      <c r="A98" s="131"/>
      <c r="B98" s="61"/>
      <c r="C98" s="59"/>
      <c r="D98" s="59"/>
      <c r="E98" s="9"/>
      <c r="F98" s="233"/>
      <c r="G98" s="216"/>
      <c r="H98" s="132"/>
      <c r="I98" s="132"/>
      <c r="J98" s="132"/>
      <c r="K98" s="132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</row>
    <row r="99" spans="1:236" s="87" customFormat="1">
      <c r="A99" s="131"/>
      <c r="B99" s="61"/>
      <c r="C99" s="59"/>
      <c r="D99" s="59"/>
      <c r="E99" s="9"/>
      <c r="F99" s="233"/>
      <c r="G99" s="216"/>
      <c r="H99" s="132"/>
      <c r="I99" s="132"/>
      <c r="J99" s="132"/>
      <c r="K99" s="132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</row>
    <row r="100" spans="1:236" s="87" customFormat="1">
      <c r="A100" s="131"/>
      <c r="B100" s="61"/>
      <c r="C100" s="59"/>
      <c r="D100" s="59"/>
      <c r="E100" s="9"/>
      <c r="F100" s="233"/>
      <c r="G100" s="216"/>
      <c r="H100" s="132"/>
      <c r="I100" s="132"/>
      <c r="J100" s="132"/>
      <c r="K100" s="132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</row>
    <row r="101" spans="1:236" s="87" customFormat="1">
      <c r="A101" s="131"/>
      <c r="B101" s="61"/>
      <c r="C101" s="59"/>
      <c r="D101" s="59"/>
      <c r="E101" s="9"/>
      <c r="F101" s="233"/>
      <c r="G101" s="216"/>
      <c r="H101" s="132"/>
      <c r="I101" s="132"/>
      <c r="J101" s="132"/>
      <c r="K101" s="132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</row>
    <row r="102" spans="1:236" s="87" customFormat="1">
      <c r="A102" s="131"/>
      <c r="B102" s="61"/>
      <c r="C102" s="59"/>
      <c r="D102" s="59"/>
      <c r="E102" s="9"/>
      <c r="F102" s="233"/>
      <c r="G102" s="216"/>
      <c r="H102" s="132"/>
      <c r="I102" s="132"/>
      <c r="J102" s="132"/>
      <c r="K102" s="132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</row>
    <row r="103" spans="1:236" s="87" customFormat="1">
      <c r="A103" s="131"/>
      <c r="B103" s="61"/>
      <c r="C103" s="59"/>
      <c r="D103" s="59"/>
      <c r="E103" s="9"/>
      <c r="F103" s="233"/>
      <c r="G103" s="216"/>
      <c r="H103" s="132"/>
      <c r="I103" s="132"/>
      <c r="J103" s="132"/>
      <c r="K103" s="132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</row>
    <row r="104" spans="1:236" s="87" customFormat="1">
      <c r="A104" s="131"/>
      <c r="B104" s="61"/>
      <c r="C104" s="59"/>
      <c r="D104" s="59"/>
      <c r="E104" s="9"/>
      <c r="F104" s="233"/>
      <c r="G104" s="216"/>
      <c r="H104" s="132"/>
      <c r="I104" s="132"/>
      <c r="J104" s="132"/>
      <c r="K104" s="132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</row>
    <row r="105" spans="1:236" s="87" customFormat="1">
      <c r="A105" s="131"/>
      <c r="B105" s="61"/>
      <c r="C105" s="59"/>
      <c r="D105" s="59"/>
      <c r="E105" s="9"/>
      <c r="F105" s="233"/>
      <c r="G105" s="216"/>
      <c r="H105" s="132"/>
      <c r="I105" s="132"/>
      <c r="J105" s="132"/>
      <c r="K105" s="132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</row>
    <row r="106" spans="1:236" s="87" customFormat="1">
      <c r="A106" s="131"/>
      <c r="B106" s="61"/>
      <c r="C106" s="59"/>
      <c r="D106" s="59"/>
      <c r="E106" s="9"/>
      <c r="F106" s="233"/>
      <c r="G106" s="216"/>
      <c r="H106" s="132"/>
      <c r="I106" s="132"/>
      <c r="J106" s="132"/>
      <c r="K106" s="132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</row>
    <row r="107" spans="1:236" s="87" customFormat="1">
      <c r="A107" s="131"/>
      <c r="B107" s="61"/>
      <c r="C107" s="59"/>
      <c r="D107" s="59"/>
      <c r="E107" s="9"/>
      <c r="F107" s="233"/>
      <c r="G107" s="216"/>
      <c r="H107" s="132"/>
      <c r="I107" s="132"/>
      <c r="J107" s="132"/>
      <c r="K107" s="132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</row>
    <row r="108" spans="1:236" s="87" customFormat="1">
      <c r="A108" s="131"/>
      <c r="B108" s="61"/>
      <c r="C108" s="59"/>
      <c r="D108" s="59"/>
      <c r="E108" s="9"/>
      <c r="F108" s="233"/>
      <c r="G108" s="216"/>
      <c r="H108" s="132"/>
      <c r="I108" s="132"/>
      <c r="J108" s="132"/>
      <c r="K108" s="132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</row>
    <row r="109" spans="1:236" s="87" customFormat="1">
      <c r="A109" s="131"/>
      <c r="B109" s="61"/>
      <c r="C109" s="59"/>
      <c r="D109" s="59"/>
      <c r="E109" s="9"/>
      <c r="F109" s="233"/>
      <c r="G109" s="216"/>
      <c r="H109" s="132"/>
      <c r="I109" s="132"/>
      <c r="J109" s="132"/>
      <c r="K109" s="132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</row>
    <row r="110" spans="1:236" s="87" customFormat="1">
      <c r="A110" s="131"/>
      <c r="B110" s="61"/>
      <c r="C110" s="59"/>
      <c r="D110" s="59"/>
      <c r="E110" s="9"/>
      <c r="F110" s="233"/>
      <c r="G110" s="216"/>
      <c r="H110" s="132"/>
      <c r="I110" s="132"/>
      <c r="J110" s="132"/>
      <c r="K110" s="132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</row>
    <row r="111" spans="1:236" s="87" customFormat="1">
      <c r="A111" s="131"/>
      <c r="B111" s="61"/>
      <c r="C111" s="59"/>
      <c r="D111" s="59"/>
      <c r="E111" s="9"/>
      <c r="F111" s="233"/>
      <c r="G111" s="216"/>
      <c r="H111" s="132"/>
      <c r="I111" s="132"/>
      <c r="J111" s="132"/>
      <c r="K111" s="132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</row>
    <row r="112" spans="1:236" s="87" customFormat="1">
      <c r="A112" s="131"/>
      <c r="B112" s="61"/>
      <c r="C112" s="59"/>
      <c r="D112" s="59"/>
      <c r="E112" s="9"/>
      <c r="F112" s="233"/>
      <c r="G112" s="216"/>
      <c r="H112" s="132"/>
      <c r="I112" s="132"/>
      <c r="J112" s="132"/>
      <c r="K112" s="132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</row>
    <row r="113" spans="1:236" s="87" customFormat="1">
      <c r="A113" s="131"/>
      <c r="B113" s="61"/>
      <c r="C113" s="59"/>
      <c r="D113" s="59"/>
      <c r="E113" s="9"/>
      <c r="F113" s="233"/>
      <c r="G113" s="216"/>
      <c r="H113" s="132"/>
      <c r="I113" s="132"/>
      <c r="J113" s="132"/>
      <c r="K113" s="132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/>
      <c r="HN113" s="86"/>
      <c r="HO113" s="86"/>
      <c r="HP113" s="86"/>
      <c r="HQ113" s="86"/>
      <c r="HR113" s="86"/>
      <c r="HS113" s="86"/>
      <c r="HT113" s="86"/>
      <c r="HU113" s="86"/>
      <c r="HV113" s="86"/>
      <c r="HW113" s="86"/>
      <c r="HX113" s="86"/>
      <c r="HY113" s="86"/>
      <c r="HZ113" s="86"/>
      <c r="IA113" s="86"/>
      <c r="IB113" s="86"/>
    </row>
    <row r="114" spans="1:236" s="87" customFormat="1">
      <c r="A114" s="131"/>
      <c r="B114" s="61"/>
      <c r="C114" s="59"/>
      <c r="D114" s="59"/>
      <c r="E114" s="9"/>
      <c r="F114" s="233"/>
      <c r="G114" s="216"/>
      <c r="H114" s="132"/>
      <c r="I114" s="132"/>
      <c r="J114" s="132"/>
      <c r="K114" s="132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/>
      <c r="HN114" s="86"/>
      <c r="HO114" s="86"/>
      <c r="HP114" s="86"/>
      <c r="HQ114" s="86"/>
      <c r="HR114" s="86"/>
      <c r="HS114" s="86"/>
      <c r="HT114" s="86"/>
      <c r="HU114" s="86"/>
      <c r="HV114" s="86"/>
      <c r="HW114" s="86"/>
      <c r="HX114" s="86"/>
      <c r="HY114" s="86"/>
      <c r="HZ114" s="86"/>
      <c r="IA114" s="86"/>
      <c r="IB114" s="86"/>
    </row>
    <row r="115" spans="1:236" s="87" customFormat="1">
      <c r="A115" s="131"/>
      <c r="B115" s="61"/>
      <c r="C115" s="59"/>
      <c r="D115" s="59"/>
      <c r="E115" s="9"/>
      <c r="F115" s="233"/>
      <c r="G115" s="216"/>
      <c r="H115" s="132"/>
      <c r="I115" s="132"/>
      <c r="J115" s="132"/>
      <c r="K115" s="132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/>
      <c r="HN115" s="86"/>
      <c r="HO115" s="86"/>
      <c r="HP115" s="86"/>
      <c r="HQ115" s="86"/>
      <c r="HR115" s="86"/>
      <c r="HS115" s="86"/>
      <c r="HT115" s="86"/>
      <c r="HU115" s="86"/>
      <c r="HV115" s="86"/>
      <c r="HW115" s="86"/>
      <c r="HX115" s="86"/>
      <c r="HY115" s="86"/>
      <c r="HZ115" s="86"/>
      <c r="IA115" s="86"/>
      <c r="IB115" s="86"/>
    </row>
    <row r="116" spans="1:236" s="87" customFormat="1">
      <c r="A116" s="131"/>
      <c r="B116" s="61"/>
      <c r="C116" s="59"/>
      <c r="D116" s="59"/>
      <c r="E116" s="9"/>
      <c r="F116" s="233"/>
      <c r="G116" s="216"/>
      <c r="H116" s="132"/>
      <c r="I116" s="132"/>
      <c r="J116" s="132"/>
      <c r="K116" s="132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86"/>
      <c r="GQ116" s="86"/>
      <c r="GR116" s="86"/>
      <c r="GS116" s="86"/>
      <c r="GT116" s="86"/>
      <c r="GU116" s="86"/>
      <c r="GV116" s="86"/>
      <c r="GW116" s="86"/>
      <c r="GX116" s="86"/>
      <c r="GY116" s="86"/>
      <c r="GZ116" s="86"/>
      <c r="HA116" s="86"/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/>
      <c r="HN116" s="86"/>
      <c r="HO116" s="86"/>
      <c r="HP116" s="86"/>
      <c r="HQ116" s="86"/>
      <c r="HR116" s="86"/>
      <c r="HS116" s="86"/>
      <c r="HT116" s="86"/>
      <c r="HU116" s="86"/>
      <c r="HV116" s="86"/>
      <c r="HW116" s="86"/>
      <c r="HX116" s="86"/>
      <c r="HY116" s="86"/>
      <c r="HZ116" s="86"/>
      <c r="IA116" s="86"/>
      <c r="IB116" s="86"/>
    </row>
    <row r="117" spans="1:236" s="87" customFormat="1">
      <c r="A117" s="131"/>
      <c r="B117" s="61"/>
      <c r="C117" s="59"/>
      <c r="D117" s="59"/>
      <c r="E117" s="9"/>
      <c r="F117" s="233"/>
      <c r="G117" s="216"/>
      <c r="H117" s="132"/>
      <c r="I117" s="132"/>
      <c r="J117" s="132"/>
      <c r="K117" s="132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6"/>
      <c r="HA117" s="86"/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/>
      <c r="HN117" s="86"/>
      <c r="HO117" s="86"/>
      <c r="HP117" s="86"/>
      <c r="HQ117" s="86"/>
      <c r="HR117" s="86"/>
      <c r="HS117" s="86"/>
      <c r="HT117" s="86"/>
      <c r="HU117" s="86"/>
      <c r="HV117" s="86"/>
      <c r="HW117" s="86"/>
      <c r="HX117" s="86"/>
      <c r="HY117" s="86"/>
      <c r="HZ117" s="86"/>
      <c r="IA117" s="86"/>
      <c r="IB117" s="86"/>
    </row>
    <row r="118" spans="1:236" s="87" customFormat="1">
      <c r="A118" s="131"/>
      <c r="B118" s="61"/>
      <c r="C118" s="59"/>
      <c r="D118" s="59"/>
      <c r="E118" s="9"/>
      <c r="F118" s="233"/>
      <c r="G118" s="216"/>
      <c r="H118" s="132"/>
      <c r="I118" s="132"/>
      <c r="J118" s="132"/>
      <c r="K118" s="132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</row>
    <row r="119" spans="1:236" s="87" customFormat="1">
      <c r="A119" s="131"/>
      <c r="B119" s="61"/>
      <c r="C119" s="59"/>
      <c r="D119" s="59"/>
      <c r="E119" s="9"/>
      <c r="F119" s="233"/>
      <c r="G119" s="216"/>
      <c r="H119" s="132"/>
      <c r="I119" s="132"/>
      <c r="J119" s="132"/>
      <c r="K119" s="132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86"/>
      <c r="HW119" s="86"/>
      <c r="HX119" s="86"/>
      <c r="HY119" s="86"/>
      <c r="HZ119" s="86"/>
      <c r="IA119" s="86"/>
      <c r="IB119" s="86"/>
    </row>
    <row r="120" spans="1:236" s="87" customFormat="1">
      <c r="A120" s="131"/>
      <c r="B120" s="61"/>
      <c r="C120" s="59"/>
      <c r="D120" s="59"/>
      <c r="E120" s="9"/>
      <c r="F120" s="233"/>
      <c r="G120" s="216"/>
      <c r="H120" s="132"/>
      <c r="I120" s="132"/>
      <c r="J120" s="132"/>
      <c r="K120" s="132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6"/>
      <c r="HA120" s="86"/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/>
      <c r="HN120" s="86"/>
      <c r="HO120" s="86"/>
      <c r="HP120" s="86"/>
      <c r="HQ120" s="86"/>
      <c r="HR120" s="86"/>
      <c r="HS120" s="86"/>
      <c r="HT120" s="86"/>
      <c r="HU120" s="86"/>
      <c r="HV120" s="86"/>
      <c r="HW120" s="86"/>
      <c r="HX120" s="86"/>
      <c r="HY120" s="86"/>
      <c r="HZ120" s="86"/>
      <c r="IA120" s="86"/>
      <c r="IB120" s="86"/>
    </row>
    <row r="121" spans="1:236" s="87" customFormat="1">
      <c r="A121" s="131"/>
      <c r="B121" s="61"/>
      <c r="C121" s="59"/>
      <c r="D121" s="59"/>
      <c r="E121" s="9"/>
      <c r="F121" s="233"/>
      <c r="G121" s="216"/>
      <c r="H121" s="132"/>
      <c r="I121" s="132"/>
      <c r="J121" s="132"/>
      <c r="K121" s="132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6"/>
      <c r="HA121" s="86"/>
      <c r="HB121" s="86"/>
      <c r="HC121" s="86"/>
      <c r="HD121" s="86"/>
      <c r="HE121" s="86"/>
      <c r="HF121" s="86"/>
      <c r="HG121" s="86"/>
      <c r="HH121" s="86"/>
      <c r="HI121" s="86"/>
      <c r="HJ121" s="86"/>
      <c r="HK121" s="86"/>
      <c r="HL121" s="86"/>
      <c r="HM121" s="86"/>
      <c r="HN121" s="86"/>
      <c r="HO121" s="86"/>
      <c r="HP121" s="86"/>
      <c r="HQ121" s="86"/>
      <c r="HR121" s="86"/>
      <c r="HS121" s="86"/>
      <c r="HT121" s="86"/>
      <c r="HU121" s="86"/>
      <c r="HV121" s="86"/>
      <c r="HW121" s="86"/>
      <c r="HX121" s="86"/>
      <c r="HY121" s="86"/>
      <c r="HZ121" s="86"/>
      <c r="IA121" s="86"/>
      <c r="IB121" s="86"/>
    </row>
    <row r="122" spans="1:236" s="87" customFormat="1">
      <c r="A122" s="131"/>
      <c r="B122" s="61"/>
      <c r="C122" s="59"/>
      <c r="D122" s="59"/>
      <c r="E122" s="9"/>
      <c r="F122" s="233"/>
      <c r="G122" s="216"/>
      <c r="H122" s="132"/>
      <c r="I122" s="132"/>
      <c r="J122" s="132"/>
      <c r="K122" s="132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  <c r="HQ122" s="86"/>
      <c r="HR122" s="86"/>
      <c r="HS122" s="86"/>
      <c r="HT122" s="86"/>
      <c r="HU122" s="86"/>
      <c r="HV122" s="86"/>
      <c r="HW122" s="86"/>
      <c r="HX122" s="86"/>
      <c r="HY122" s="86"/>
      <c r="HZ122" s="86"/>
      <c r="IA122" s="86"/>
      <c r="IB122" s="86"/>
    </row>
    <row r="123" spans="1:236" s="87" customFormat="1">
      <c r="A123" s="131"/>
      <c r="B123" s="61"/>
      <c r="C123" s="59"/>
      <c r="D123" s="59"/>
      <c r="E123" s="9"/>
      <c r="F123" s="233"/>
      <c r="G123" s="216"/>
      <c r="H123" s="132"/>
      <c r="I123" s="132"/>
      <c r="J123" s="132"/>
      <c r="K123" s="132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</row>
    <row r="124" spans="1:236" s="87" customFormat="1">
      <c r="A124" s="131"/>
      <c r="B124" s="61"/>
      <c r="C124" s="59"/>
      <c r="D124" s="59"/>
      <c r="E124" s="9"/>
      <c r="F124" s="233"/>
      <c r="G124" s="216"/>
      <c r="H124" s="132"/>
      <c r="I124" s="132"/>
      <c r="J124" s="132"/>
      <c r="K124" s="132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  <c r="FS124" s="86"/>
      <c r="FT124" s="86"/>
      <c r="FU124" s="86"/>
      <c r="FV124" s="86"/>
      <c r="FW124" s="86"/>
      <c r="FX124" s="86"/>
      <c r="FY124" s="86"/>
      <c r="FZ124" s="86"/>
      <c r="GA124" s="86"/>
      <c r="GB124" s="86"/>
      <c r="GC124" s="86"/>
      <c r="GD124" s="86"/>
      <c r="GE124" s="86"/>
      <c r="GF124" s="86"/>
      <c r="GG124" s="86"/>
      <c r="GH124" s="86"/>
      <c r="GI124" s="86"/>
      <c r="GJ124" s="86"/>
      <c r="GK124" s="86"/>
      <c r="GL124" s="86"/>
      <c r="GM124" s="86"/>
      <c r="GN124" s="86"/>
      <c r="GO124" s="86"/>
      <c r="GP124" s="86"/>
      <c r="GQ124" s="86"/>
      <c r="GR124" s="86"/>
      <c r="GS124" s="86"/>
      <c r="GT124" s="86"/>
      <c r="GU124" s="86"/>
      <c r="GV124" s="86"/>
      <c r="GW124" s="86"/>
      <c r="GX124" s="86"/>
      <c r="GY124" s="86"/>
      <c r="GZ124" s="86"/>
      <c r="HA124" s="86"/>
      <c r="HB124" s="86"/>
      <c r="HC124" s="86"/>
      <c r="HD124" s="86"/>
      <c r="HE124" s="86"/>
      <c r="HF124" s="86"/>
      <c r="HG124" s="86"/>
      <c r="HH124" s="86"/>
      <c r="HI124" s="86"/>
      <c r="HJ124" s="86"/>
      <c r="HK124" s="86"/>
      <c r="HL124" s="86"/>
      <c r="HM124" s="86"/>
      <c r="HN124" s="86"/>
      <c r="HO124" s="86"/>
      <c r="HP124" s="86"/>
      <c r="HQ124" s="86"/>
      <c r="HR124" s="86"/>
      <c r="HS124" s="86"/>
      <c r="HT124" s="86"/>
      <c r="HU124" s="86"/>
      <c r="HV124" s="86"/>
      <c r="HW124" s="86"/>
      <c r="HX124" s="86"/>
      <c r="HY124" s="86"/>
      <c r="HZ124" s="86"/>
      <c r="IA124" s="86"/>
      <c r="IB124" s="86"/>
    </row>
    <row r="125" spans="1:236" s="87" customFormat="1">
      <c r="A125" s="131"/>
      <c r="B125" s="61"/>
      <c r="C125" s="59"/>
      <c r="D125" s="59"/>
      <c r="E125" s="9"/>
      <c r="F125" s="233"/>
      <c r="G125" s="216"/>
      <c r="H125" s="132"/>
      <c r="I125" s="132"/>
      <c r="J125" s="132"/>
      <c r="K125" s="132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86"/>
      <c r="GH125" s="86"/>
      <c r="GI125" s="86"/>
      <c r="GJ125" s="86"/>
      <c r="GK125" s="86"/>
      <c r="GL125" s="86"/>
      <c r="GM125" s="86"/>
      <c r="GN125" s="86"/>
      <c r="GO125" s="86"/>
      <c r="GP125" s="86"/>
      <c r="GQ125" s="86"/>
      <c r="GR125" s="86"/>
      <c r="GS125" s="86"/>
      <c r="GT125" s="86"/>
      <c r="GU125" s="86"/>
      <c r="GV125" s="86"/>
      <c r="GW125" s="86"/>
      <c r="GX125" s="86"/>
      <c r="GY125" s="86"/>
      <c r="GZ125" s="86"/>
      <c r="HA125" s="86"/>
      <c r="HB125" s="86"/>
      <c r="HC125" s="86"/>
      <c r="HD125" s="86"/>
      <c r="HE125" s="86"/>
      <c r="HF125" s="86"/>
      <c r="HG125" s="86"/>
      <c r="HH125" s="86"/>
      <c r="HI125" s="86"/>
      <c r="HJ125" s="86"/>
      <c r="HK125" s="86"/>
      <c r="HL125" s="86"/>
      <c r="HM125" s="86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</row>
    <row r="126" spans="1:236" s="87" customFormat="1">
      <c r="A126" s="131"/>
      <c r="B126" s="61"/>
      <c r="C126" s="59"/>
      <c r="D126" s="59"/>
      <c r="E126" s="9"/>
      <c r="F126" s="233"/>
      <c r="G126" s="216"/>
      <c r="H126" s="132"/>
      <c r="I126" s="132"/>
      <c r="J126" s="132"/>
      <c r="K126" s="132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86"/>
      <c r="GQ126" s="86"/>
      <c r="GR126" s="86"/>
      <c r="GS126" s="86"/>
      <c r="GT126" s="86"/>
      <c r="GU126" s="86"/>
      <c r="GV126" s="86"/>
      <c r="GW126" s="86"/>
      <c r="GX126" s="86"/>
      <c r="GY126" s="86"/>
      <c r="GZ126" s="86"/>
      <c r="HA126" s="86"/>
      <c r="HB126" s="86"/>
      <c r="HC126" s="86"/>
      <c r="HD126" s="86"/>
      <c r="HE126" s="86"/>
      <c r="HF126" s="86"/>
      <c r="HG126" s="86"/>
      <c r="HH126" s="86"/>
      <c r="HI126" s="86"/>
      <c r="HJ126" s="86"/>
      <c r="HK126" s="86"/>
      <c r="HL126" s="86"/>
      <c r="HM126" s="86"/>
      <c r="HN126" s="86"/>
      <c r="HO126" s="86"/>
      <c r="HP126" s="86"/>
      <c r="HQ126" s="86"/>
      <c r="HR126" s="86"/>
      <c r="HS126" s="86"/>
      <c r="HT126" s="86"/>
      <c r="HU126" s="86"/>
      <c r="HV126" s="86"/>
      <c r="HW126" s="86"/>
      <c r="HX126" s="86"/>
      <c r="HY126" s="86"/>
      <c r="HZ126" s="86"/>
      <c r="IA126" s="86"/>
      <c r="IB126" s="86"/>
    </row>
    <row r="127" spans="1:236" s="87" customFormat="1">
      <c r="A127" s="131"/>
      <c r="B127" s="61"/>
      <c r="C127" s="59"/>
      <c r="D127" s="59"/>
      <c r="E127" s="9"/>
      <c r="F127" s="233"/>
      <c r="G127" s="216"/>
      <c r="H127" s="132"/>
      <c r="I127" s="132"/>
      <c r="J127" s="132"/>
      <c r="K127" s="132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6"/>
      <c r="GF127" s="86"/>
      <c r="GG127" s="86"/>
      <c r="GH127" s="86"/>
      <c r="GI127" s="86"/>
      <c r="GJ127" s="86"/>
      <c r="GK127" s="86"/>
      <c r="GL127" s="86"/>
      <c r="GM127" s="86"/>
      <c r="GN127" s="86"/>
      <c r="GO127" s="86"/>
      <c r="GP127" s="86"/>
      <c r="GQ127" s="86"/>
      <c r="GR127" s="86"/>
      <c r="GS127" s="86"/>
      <c r="GT127" s="86"/>
      <c r="GU127" s="86"/>
      <c r="GV127" s="86"/>
      <c r="GW127" s="86"/>
      <c r="GX127" s="86"/>
      <c r="GY127" s="86"/>
      <c r="GZ127" s="86"/>
      <c r="HA127" s="86"/>
      <c r="HB127" s="86"/>
      <c r="HC127" s="86"/>
      <c r="HD127" s="86"/>
      <c r="HE127" s="86"/>
      <c r="HF127" s="86"/>
      <c r="HG127" s="86"/>
      <c r="HH127" s="86"/>
      <c r="HI127" s="86"/>
      <c r="HJ127" s="86"/>
      <c r="HK127" s="86"/>
      <c r="HL127" s="86"/>
      <c r="HM127" s="86"/>
      <c r="HN127" s="86"/>
      <c r="HO127" s="86"/>
      <c r="HP127" s="86"/>
      <c r="HQ127" s="86"/>
      <c r="HR127" s="86"/>
      <c r="HS127" s="86"/>
      <c r="HT127" s="86"/>
      <c r="HU127" s="86"/>
      <c r="HV127" s="86"/>
      <c r="HW127" s="86"/>
      <c r="HX127" s="86"/>
      <c r="HY127" s="86"/>
      <c r="HZ127" s="86"/>
      <c r="IA127" s="86"/>
      <c r="IB127" s="86"/>
    </row>
    <row r="128" spans="1:236" s="87" customFormat="1">
      <c r="A128" s="131"/>
      <c r="B128" s="61"/>
      <c r="C128" s="59"/>
      <c r="D128" s="59"/>
      <c r="E128" s="9"/>
      <c r="F128" s="233"/>
      <c r="G128" s="216"/>
      <c r="H128" s="132"/>
      <c r="I128" s="132"/>
      <c r="J128" s="132"/>
      <c r="K128" s="132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86"/>
      <c r="GH128" s="86"/>
      <c r="GI128" s="86"/>
      <c r="GJ128" s="86"/>
      <c r="GK128" s="86"/>
      <c r="GL128" s="86"/>
      <c r="GM128" s="86"/>
      <c r="GN128" s="86"/>
      <c r="GO128" s="86"/>
      <c r="GP128" s="86"/>
      <c r="GQ128" s="86"/>
      <c r="GR128" s="86"/>
      <c r="GS128" s="86"/>
      <c r="GT128" s="86"/>
      <c r="GU128" s="86"/>
      <c r="GV128" s="86"/>
      <c r="GW128" s="86"/>
      <c r="GX128" s="86"/>
      <c r="GY128" s="86"/>
      <c r="GZ128" s="86"/>
      <c r="HA128" s="86"/>
      <c r="HB128" s="86"/>
      <c r="HC128" s="86"/>
      <c r="HD128" s="86"/>
      <c r="HE128" s="86"/>
      <c r="HF128" s="86"/>
      <c r="HG128" s="86"/>
      <c r="HH128" s="86"/>
      <c r="HI128" s="86"/>
      <c r="HJ128" s="86"/>
      <c r="HK128" s="86"/>
      <c r="HL128" s="86"/>
      <c r="HM128" s="86"/>
      <c r="HN128" s="86"/>
      <c r="HO128" s="86"/>
      <c r="HP128" s="86"/>
      <c r="HQ128" s="86"/>
      <c r="HR128" s="86"/>
      <c r="HS128" s="86"/>
      <c r="HT128" s="86"/>
      <c r="HU128" s="86"/>
      <c r="HV128" s="86"/>
      <c r="HW128" s="86"/>
      <c r="HX128" s="86"/>
      <c r="HY128" s="86"/>
      <c r="HZ128" s="86"/>
      <c r="IA128" s="86"/>
      <c r="IB128" s="86"/>
    </row>
    <row r="129" spans="1:236" s="87" customFormat="1">
      <c r="A129" s="131"/>
      <c r="B129" s="61"/>
      <c r="C129" s="59"/>
      <c r="D129" s="59"/>
      <c r="E129" s="9"/>
      <c r="F129" s="233"/>
      <c r="G129" s="216"/>
      <c r="H129" s="132"/>
      <c r="I129" s="132"/>
      <c r="J129" s="132"/>
      <c r="K129" s="132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  <c r="FS129" s="86"/>
      <c r="FT129" s="86"/>
      <c r="FU129" s="86"/>
      <c r="FV129" s="86"/>
      <c r="FW129" s="86"/>
      <c r="FX129" s="86"/>
      <c r="FY129" s="86"/>
      <c r="FZ129" s="86"/>
      <c r="GA129" s="86"/>
      <c r="GB129" s="86"/>
      <c r="GC129" s="86"/>
      <c r="GD129" s="86"/>
      <c r="GE129" s="86"/>
      <c r="GF129" s="86"/>
      <c r="GG129" s="86"/>
      <c r="GH129" s="86"/>
      <c r="GI129" s="86"/>
      <c r="GJ129" s="86"/>
      <c r="GK129" s="86"/>
      <c r="GL129" s="86"/>
      <c r="GM129" s="86"/>
      <c r="GN129" s="86"/>
      <c r="GO129" s="86"/>
      <c r="GP129" s="86"/>
      <c r="GQ129" s="86"/>
      <c r="GR129" s="86"/>
      <c r="GS129" s="86"/>
      <c r="GT129" s="86"/>
      <c r="GU129" s="86"/>
      <c r="GV129" s="86"/>
      <c r="GW129" s="86"/>
      <c r="GX129" s="86"/>
      <c r="GY129" s="86"/>
      <c r="GZ129" s="86"/>
      <c r="HA129" s="86"/>
      <c r="HB129" s="86"/>
      <c r="HC129" s="86"/>
      <c r="HD129" s="86"/>
      <c r="HE129" s="86"/>
      <c r="HF129" s="86"/>
      <c r="HG129" s="86"/>
      <c r="HH129" s="86"/>
      <c r="HI129" s="86"/>
      <c r="HJ129" s="86"/>
      <c r="HK129" s="86"/>
      <c r="HL129" s="86"/>
      <c r="HM129" s="86"/>
      <c r="HN129" s="86"/>
      <c r="HO129" s="86"/>
      <c r="HP129" s="86"/>
      <c r="HQ129" s="86"/>
      <c r="HR129" s="86"/>
      <c r="HS129" s="86"/>
      <c r="HT129" s="86"/>
      <c r="HU129" s="86"/>
      <c r="HV129" s="86"/>
      <c r="HW129" s="86"/>
      <c r="HX129" s="86"/>
      <c r="HY129" s="86"/>
      <c r="HZ129" s="86"/>
      <c r="IA129" s="86"/>
      <c r="IB129" s="86"/>
    </row>
    <row r="130" spans="1:236" s="87" customFormat="1">
      <c r="A130" s="131"/>
      <c r="B130" s="61"/>
      <c r="C130" s="59"/>
      <c r="D130" s="59"/>
      <c r="E130" s="9"/>
      <c r="F130" s="233"/>
      <c r="G130" s="216"/>
      <c r="H130" s="132"/>
      <c r="I130" s="132"/>
      <c r="J130" s="132"/>
      <c r="K130" s="132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  <c r="FS130" s="86"/>
      <c r="FT130" s="86"/>
      <c r="FU130" s="86"/>
      <c r="FV130" s="86"/>
      <c r="FW130" s="86"/>
      <c r="FX130" s="86"/>
      <c r="FY130" s="86"/>
      <c r="FZ130" s="86"/>
      <c r="GA130" s="86"/>
      <c r="GB130" s="86"/>
      <c r="GC130" s="86"/>
      <c r="GD130" s="86"/>
      <c r="GE130" s="86"/>
      <c r="GF130" s="86"/>
      <c r="GG130" s="86"/>
      <c r="GH130" s="86"/>
      <c r="GI130" s="86"/>
      <c r="GJ130" s="86"/>
      <c r="GK130" s="86"/>
      <c r="GL130" s="86"/>
      <c r="GM130" s="86"/>
      <c r="GN130" s="86"/>
      <c r="GO130" s="86"/>
      <c r="GP130" s="86"/>
      <c r="GQ130" s="86"/>
      <c r="GR130" s="86"/>
      <c r="GS130" s="86"/>
      <c r="GT130" s="86"/>
      <c r="GU130" s="86"/>
      <c r="GV130" s="86"/>
      <c r="GW130" s="86"/>
      <c r="GX130" s="86"/>
      <c r="GY130" s="86"/>
      <c r="GZ130" s="86"/>
      <c r="HA130" s="86"/>
      <c r="HB130" s="86"/>
      <c r="HC130" s="86"/>
      <c r="HD130" s="86"/>
      <c r="HE130" s="86"/>
      <c r="HF130" s="86"/>
      <c r="HG130" s="86"/>
      <c r="HH130" s="86"/>
      <c r="HI130" s="86"/>
      <c r="HJ130" s="86"/>
      <c r="HK130" s="86"/>
      <c r="HL130" s="86"/>
      <c r="HM130" s="86"/>
      <c r="HN130" s="86"/>
      <c r="HO130" s="86"/>
      <c r="HP130" s="86"/>
      <c r="HQ130" s="86"/>
      <c r="HR130" s="86"/>
      <c r="HS130" s="86"/>
      <c r="HT130" s="86"/>
      <c r="HU130" s="86"/>
      <c r="HV130" s="86"/>
      <c r="HW130" s="86"/>
      <c r="HX130" s="86"/>
      <c r="HY130" s="86"/>
      <c r="HZ130" s="86"/>
      <c r="IA130" s="86"/>
      <c r="IB130" s="86"/>
    </row>
    <row r="131" spans="1:236" s="87" customFormat="1">
      <c r="A131" s="131"/>
      <c r="B131" s="61"/>
      <c r="C131" s="59"/>
      <c r="D131" s="59"/>
      <c r="E131" s="9"/>
      <c r="F131" s="233"/>
      <c r="G131" s="216"/>
      <c r="H131" s="132"/>
      <c r="I131" s="132"/>
      <c r="J131" s="132"/>
      <c r="K131" s="132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86"/>
      <c r="FZ131" s="86"/>
      <c r="GA131" s="86"/>
      <c r="GB131" s="86"/>
      <c r="GC131" s="86"/>
      <c r="GD131" s="86"/>
      <c r="GE131" s="86"/>
      <c r="GF131" s="86"/>
      <c r="GG131" s="86"/>
      <c r="GH131" s="86"/>
      <c r="GI131" s="86"/>
      <c r="GJ131" s="86"/>
      <c r="GK131" s="86"/>
      <c r="GL131" s="86"/>
      <c r="GM131" s="86"/>
      <c r="GN131" s="86"/>
      <c r="GO131" s="86"/>
      <c r="GP131" s="86"/>
      <c r="GQ131" s="86"/>
      <c r="GR131" s="86"/>
      <c r="GS131" s="86"/>
      <c r="GT131" s="86"/>
      <c r="GU131" s="86"/>
      <c r="GV131" s="86"/>
      <c r="GW131" s="86"/>
      <c r="GX131" s="86"/>
      <c r="GY131" s="86"/>
      <c r="GZ131" s="86"/>
      <c r="HA131" s="86"/>
      <c r="HB131" s="86"/>
      <c r="HC131" s="86"/>
      <c r="HD131" s="86"/>
      <c r="HE131" s="86"/>
      <c r="HF131" s="86"/>
      <c r="HG131" s="86"/>
      <c r="HH131" s="86"/>
      <c r="HI131" s="86"/>
      <c r="HJ131" s="86"/>
      <c r="HK131" s="86"/>
      <c r="HL131" s="86"/>
      <c r="HM131" s="86"/>
      <c r="HN131" s="86"/>
      <c r="HO131" s="86"/>
      <c r="HP131" s="86"/>
      <c r="HQ131" s="86"/>
      <c r="HR131" s="86"/>
      <c r="HS131" s="86"/>
      <c r="HT131" s="86"/>
      <c r="HU131" s="86"/>
      <c r="HV131" s="86"/>
      <c r="HW131" s="86"/>
      <c r="HX131" s="86"/>
      <c r="HY131" s="86"/>
      <c r="HZ131" s="86"/>
      <c r="IA131" s="86"/>
      <c r="IB131" s="86"/>
    </row>
    <row r="132" spans="1:236" s="87" customFormat="1">
      <c r="A132" s="131"/>
      <c r="B132" s="61"/>
      <c r="C132" s="59"/>
      <c r="D132" s="59"/>
      <c r="E132" s="9"/>
      <c r="F132" s="233"/>
      <c r="G132" s="216"/>
      <c r="H132" s="132"/>
      <c r="I132" s="132"/>
      <c r="J132" s="132"/>
      <c r="K132" s="132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  <c r="FS132" s="86"/>
      <c r="FT132" s="86"/>
      <c r="FU132" s="86"/>
      <c r="FV132" s="86"/>
      <c r="FW132" s="86"/>
      <c r="FX132" s="86"/>
      <c r="FY132" s="86"/>
      <c r="FZ132" s="86"/>
      <c r="GA132" s="86"/>
      <c r="GB132" s="86"/>
      <c r="GC132" s="86"/>
      <c r="GD132" s="86"/>
      <c r="GE132" s="86"/>
      <c r="GF132" s="86"/>
      <c r="GG132" s="86"/>
      <c r="GH132" s="86"/>
      <c r="GI132" s="86"/>
      <c r="GJ132" s="86"/>
      <c r="GK132" s="86"/>
      <c r="GL132" s="86"/>
      <c r="GM132" s="86"/>
      <c r="GN132" s="86"/>
      <c r="GO132" s="86"/>
      <c r="GP132" s="86"/>
      <c r="GQ132" s="86"/>
      <c r="GR132" s="86"/>
      <c r="GS132" s="86"/>
      <c r="GT132" s="86"/>
      <c r="GU132" s="86"/>
      <c r="GV132" s="86"/>
      <c r="GW132" s="86"/>
      <c r="GX132" s="86"/>
      <c r="GY132" s="86"/>
      <c r="GZ132" s="86"/>
      <c r="HA132" s="86"/>
      <c r="HB132" s="86"/>
      <c r="HC132" s="86"/>
      <c r="HD132" s="86"/>
      <c r="HE132" s="86"/>
      <c r="HF132" s="86"/>
      <c r="HG132" s="86"/>
      <c r="HH132" s="86"/>
      <c r="HI132" s="86"/>
      <c r="HJ132" s="86"/>
      <c r="HK132" s="86"/>
      <c r="HL132" s="86"/>
      <c r="HM132" s="86"/>
      <c r="HN132" s="86"/>
      <c r="HO132" s="86"/>
      <c r="HP132" s="86"/>
      <c r="HQ132" s="86"/>
      <c r="HR132" s="86"/>
      <c r="HS132" s="86"/>
      <c r="HT132" s="86"/>
      <c r="HU132" s="86"/>
      <c r="HV132" s="86"/>
      <c r="HW132" s="86"/>
      <c r="HX132" s="86"/>
      <c r="HY132" s="86"/>
      <c r="HZ132" s="86"/>
      <c r="IA132" s="86"/>
      <c r="IB132" s="86"/>
    </row>
    <row r="133" spans="1:236" s="87" customFormat="1">
      <c r="A133" s="131"/>
      <c r="B133" s="61"/>
      <c r="C133" s="59"/>
      <c r="D133" s="59"/>
      <c r="E133" s="9"/>
      <c r="F133" s="233"/>
      <c r="G133" s="216"/>
      <c r="H133" s="132"/>
      <c r="I133" s="132"/>
      <c r="J133" s="132"/>
      <c r="K133" s="132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  <c r="FS133" s="86"/>
      <c r="FT133" s="86"/>
      <c r="FU133" s="86"/>
      <c r="FV133" s="86"/>
      <c r="FW133" s="86"/>
      <c r="FX133" s="86"/>
      <c r="FY133" s="86"/>
      <c r="FZ133" s="86"/>
      <c r="GA133" s="86"/>
      <c r="GB133" s="86"/>
      <c r="GC133" s="86"/>
      <c r="GD133" s="86"/>
      <c r="GE133" s="86"/>
      <c r="GF133" s="86"/>
      <c r="GG133" s="86"/>
      <c r="GH133" s="86"/>
      <c r="GI133" s="86"/>
      <c r="GJ133" s="86"/>
      <c r="GK133" s="86"/>
      <c r="GL133" s="86"/>
      <c r="GM133" s="86"/>
      <c r="GN133" s="86"/>
      <c r="GO133" s="86"/>
      <c r="GP133" s="86"/>
      <c r="GQ133" s="86"/>
      <c r="GR133" s="86"/>
      <c r="GS133" s="86"/>
      <c r="GT133" s="86"/>
      <c r="GU133" s="86"/>
      <c r="GV133" s="86"/>
      <c r="GW133" s="86"/>
      <c r="GX133" s="86"/>
      <c r="GY133" s="86"/>
      <c r="GZ133" s="86"/>
      <c r="HA133" s="86"/>
      <c r="HB133" s="86"/>
      <c r="HC133" s="86"/>
      <c r="HD133" s="86"/>
      <c r="HE133" s="86"/>
      <c r="HF133" s="86"/>
      <c r="HG133" s="86"/>
      <c r="HH133" s="86"/>
      <c r="HI133" s="86"/>
      <c r="HJ133" s="86"/>
      <c r="HK133" s="86"/>
      <c r="HL133" s="86"/>
      <c r="HM133" s="86"/>
      <c r="HN133" s="86"/>
      <c r="HO133" s="86"/>
      <c r="HP133" s="86"/>
      <c r="HQ133" s="86"/>
      <c r="HR133" s="86"/>
      <c r="HS133" s="86"/>
      <c r="HT133" s="86"/>
      <c r="HU133" s="86"/>
      <c r="HV133" s="86"/>
      <c r="HW133" s="86"/>
      <c r="HX133" s="86"/>
      <c r="HY133" s="86"/>
      <c r="HZ133" s="86"/>
      <c r="IA133" s="86"/>
      <c r="IB133" s="86"/>
    </row>
    <row r="134" spans="1:236" s="87" customFormat="1">
      <c r="A134" s="131"/>
      <c r="B134" s="61"/>
      <c r="C134" s="59"/>
      <c r="D134" s="59"/>
      <c r="E134" s="9"/>
      <c r="F134" s="233"/>
      <c r="G134" s="216"/>
      <c r="H134" s="132"/>
      <c r="I134" s="132"/>
      <c r="J134" s="132"/>
      <c r="K134" s="132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86"/>
      <c r="GH134" s="86"/>
      <c r="GI134" s="86"/>
      <c r="GJ134" s="86"/>
      <c r="GK134" s="86"/>
      <c r="GL134" s="86"/>
      <c r="GM134" s="86"/>
      <c r="GN134" s="86"/>
      <c r="GO134" s="86"/>
      <c r="GP134" s="86"/>
      <c r="GQ134" s="86"/>
      <c r="GR134" s="86"/>
      <c r="GS134" s="86"/>
      <c r="GT134" s="86"/>
      <c r="GU134" s="86"/>
      <c r="GV134" s="86"/>
      <c r="GW134" s="86"/>
      <c r="GX134" s="86"/>
      <c r="GY134" s="86"/>
      <c r="GZ134" s="86"/>
      <c r="HA134" s="86"/>
      <c r="HB134" s="86"/>
      <c r="HC134" s="86"/>
      <c r="HD134" s="86"/>
      <c r="HE134" s="86"/>
      <c r="HF134" s="86"/>
      <c r="HG134" s="86"/>
      <c r="HH134" s="86"/>
      <c r="HI134" s="86"/>
      <c r="HJ134" s="86"/>
      <c r="HK134" s="86"/>
      <c r="HL134" s="86"/>
      <c r="HM134" s="86"/>
      <c r="HN134" s="86"/>
      <c r="HO134" s="86"/>
      <c r="HP134" s="86"/>
      <c r="HQ134" s="86"/>
      <c r="HR134" s="86"/>
      <c r="HS134" s="86"/>
      <c r="HT134" s="86"/>
      <c r="HU134" s="86"/>
      <c r="HV134" s="86"/>
      <c r="HW134" s="86"/>
      <c r="HX134" s="86"/>
      <c r="HY134" s="86"/>
      <c r="HZ134" s="86"/>
      <c r="IA134" s="86"/>
      <c r="IB134" s="86"/>
    </row>
    <row r="135" spans="1:236" s="87" customFormat="1">
      <c r="A135" s="131"/>
      <c r="B135" s="61"/>
      <c r="C135" s="59"/>
      <c r="D135" s="59"/>
      <c r="E135" s="9"/>
      <c r="F135" s="233"/>
      <c r="G135" s="216"/>
      <c r="H135" s="132"/>
      <c r="I135" s="132"/>
      <c r="J135" s="132"/>
      <c r="K135" s="132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6"/>
      <c r="FM135" s="86"/>
      <c r="FN135" s="86"/>
      <c r="FO135" s="86"/>
      <c r="FP135" s="86"/>
      <c r="FQ135" s="86"/>
      <c r="FR135" s="86"/>
      <c r="FS135" s="86"/>
      <c r="FT135" s="86"/>
      <c r="FU135" s="86"/>
      <c r="FV135" s="86"/>
      <c r="FW135" s="86"/>
      <c r="FX135" s="86"/>
      <c r="FY135" s="86"/>
      <c r="FZ135" s="86"/>
      <c r="GA135" s="86"/>
      <c r="GB135" s="86"/>
      <c r="GC135" s="86"/>
      <c r="GD135" s="86"/>
      <c r="GE135" s="86"/>
      <c r="GF135" s="86"/>
      <c r="GG135" s="86"/>
      <c r="GH135" s="86"/>
      <c r="GI135" s="86"/>
      <c r="GJ135" s="86"/>
      <c r="GK135" s="86"/>
      <c r="GL135" s="86"/>
      <c r="GM135" s="86"/>
      <c r="GN135" s="86"/>
      <c r="GO135" s="86"/>
      <c r="GP135" s="86"/>
      <c r="GQ135" s="86"/>
      <c r="GR135" s="86"/>
      <c r="GS135" s="86"/>
      <c r="GT135" s="86"/>
      <c r="GU135" s="86"/>
      <c r="GV135" s="86"/>
      <c r="GW135" s="86"/>
      <c r="GX135" s="86"/>
      <c r="GY135" s="86"/>
      <c r="GZ135" s="86"/>
      <c r="HA135" s="86"/>
      <c r="HB135" s="86"/>
      <c r="HC135" s="86"/>
      <c r="HD135" s="86"/>
      <c r="HE135" s="86"/>
      <c r="HF135" s="86"/>
      <c r="HG135" s="86"/>
      <c r="HH135" s="86"/>
      <c r="HI135" s="86"/>
      <c r="HJ135" s="86"/>
      <c r="HK135" s="86"/>
      <c r="HL135" s="86"/>
      <c r="HM135" s="86"/>
      <c r="HN135" s="86"/>
      <c r="HO135" s="86"/>
      <c r="HP135" s="86"/>
      <c r="HQ135" s="86"/>
      <c r="HR135" s="86"/>
      <c r="HS135" s="86"/>
      <c r="HT135" s="86"/>
      <c r="HU135" s="86"/>
      <c r="HV135" s="86"/>
      <c r="HW135" s="86"/>
      <c r="HX135" s="86"/>
      <c r="HY135" s="86"/>
      <c r="HZ135" s="86"/>
      <c r="IA135" s="86"/>
      <c r="IB135" s="86"/>
    </row>
    <row r="136" spans="1:236" s="87" customFormat="1">
      <c r="A136" s="131"/>
      <c r="B136" s="61"/>
      <c r="C136" s="59"/>
      <c r="D136" s="59"/>
      <c r="E136" s="9"/>
      <c r="F136" s="233"/>
      <c r="G136" s="216"/>
      <c r="H136" s="132"/>
      <c r="I136" s="132"/>
      <c r="J136" s="132"/>
      <c r="K136" s="132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  <c r="ER136" s="86"/>
      <c r="ES136" s="86"/>
      <c r="ET136" s="86"/>
      <c r="EU136" s="86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  <c r="FS136" s="86"/>
      <c r="FT136" s="86"/>
      <c r="FU136" s="86"/>
      <c r="FV136" s="86"/>
      <c r="FW136" s="86"/>
      <c r="FX136" s="86"/>
      <c r="FY136" s="86"/>
      <c r="FZ136" s="86"/>
      <c r="GA136" s="86"/>
      <c r="GB136" s="86"/>
      <c r="GC136" s="86"/>
      <c r="GD136" s="86"/>
      <c r="GE136" s="86"/>
      <c r="GF136" s="86"/>
      <c r="GG136" s="86"/>
      <c r="GH136" s="86"/>
      <c r="GI136" s="86"/>
      <c r="GJ136" s="86"/>
      <c r="GK136" s="86"/>
      <c r="GL136" s="86"/>
      <c r="GM136" s="86"/>
      <c r="GN136" s="86"/>
      <c r="GO136" s="86"/>
      <c r="GP136" s="86"/>
      <c r="GQ136" s="86"/>
      <c r="GR136" s="86"/>
      <c r="GS136" s="86"/>
      <c r="GT136" s="86"/>
      <c r="GU136" s="86"/>
      <c r="GV136" s="86"/>
      <c r="GW136" s="86"/>
      <c r="GX136" s="86"/>
      <c r="GY136" s="86"/>
      <c r="GZ136" s="86"/>
      <c r="HA136" s="86"/>
      <c r="HB136" s="86"/>
      <c r="HC136" s="86"/>
      <c r="HD136" s="86"/>
      <c r="HE136" s="86"/>
      <c r="HF136" s="86"/>
      <c r="HG136" s="86"/>
      <c r="HH136" s="86"/>
      <c r="HI136" s="86"/>
      <c r="HJ136" s="86"/>
      <c r="HK136" s="86"/>
      <c r="HL136" s="86"/>
      <c r="HM136" s="86"/>
      <c r="HN136" s="86"/>
      <c r="HO136" s="86"/>
      <c r="HP136" s="86"/>
      <c r="HQ136" s="86"/>
      <c r="HR136" s="86"/>
      <c r="HS136" s="86"/>
      <c r="HT136" s="86"/>
      <c r="HU136" s="86"/>
      <c r="HV136" s="86"/>
      <c r="HW136" s="86"/>
      <c r="HX136" s="86"/>
      <c r="HY136" s="86"/>
      <c r="HZ136" s="86"/>
      <c r="IA136" s="86"/>
      <c r="IB136" s="86"/>
    </row>
    <row r="137" spans="1:236" s="87" customFormat="1">
      <c r="A137" s="131"/>
      <c r="B137" s="61"/>
      <c r="C137" s="59"/>
      <c r="D137" s="59"/>
      <c r="E137" s="9"/>
      <c r="F137" s="233"/>
      <c r="G137" s="216"/>
      <c r="H137" s="132"/>
      <c r="I137" s="132"/>
      <c r="J137" s="132"/>
      <c r="K137" s="132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86"/>
      <c r="GQ137" s="86"/>
      <c r="GR137" s="86"/>
      <c r="GS137" s="86"/>
      <c r="GT137" s="86"/>
      <c r="GU137" s="86"/>
      <c r="GV137" s="86"/>
      <c r="GW137" s="86"/>
      <c r="GX137" s="86"/>
      <c r="GY137" s="86"/>
      <c r="GZ137" s="86"/>
      <c r="HA137" s="86"/>
      <c r="HB137" s="86"/>
      <c r="HC137" s="86"/>
      <c r="HD137" s="86"/>
      <c r="HE137" s="86"/>
      <c r="HF137" s="86"/>
      <c r="HG137" s="86"/>
      <c r="HH137" s="86"/>
      <c r="HI137" s="86"/>
      <c r="HJ137" s="86"/>
      <c r="HK137" s="86"/>
      <c r="HL137" s="86"/>
      <c r="HM137" s="86"/>
      <c r="HN137" s="86"/>
      <c r="HO137" s="86"/>
      <c r="HP137" s="86"/>
      <c r="HQ137" s="86"/>
      <c r="HR137" s="86"/>
      <c r="HS137" s="86"/>
      <c r="HT137" s="86"/>
      <c r="HU137" s="86"/>
      <c r="HV137" s="86"/>
      <c r="HW137" s="86"/>
      <c r="HX137" s="86"/>
      <c r="HY137" s="86"/>
      <c r="HZ137" s="86"/>
      <c r="IA137" s="86"/>
      <c r="IB137" s="86"/>
    </row>
    <row r="138" spans="1:236" s="87" customFormat="1">
      <c r="A138" s="131"/>
      <c r="B138" s="61"/>
      <c r="C138" s="59"/>
      <c r="D138" s="59"/>
      <c r="E138" s="9"/>
      <c r="F138" s="233"/>
      <c r="G138" s="216"/>
      <c r="H138" s="132"/>
      <c r="I138" s="132"/>
      <c r="J138" s="132"/>
      <c r="K138" s="132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86"/>
      <c r="GQ138" s="86"/>
      <c r="GR138" s="86"/>
      <c r="GS138" s="86"/>
      <c r="GT138" s="86"/>
      <c r="GU138" s="86"/>
      <c r="GV138" s="86"/>
      <c r="GW138" s="86"/>
      <c r="GX138" s="86"/>
      <c r="GY138" s="86"/>
      <c r="GZ138" s="86"/>
      <c r="HA138" s="86"/>
      <c r="HB138" s="86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/>
      <c r="HN138" s="86"/>
      <c r="HO138" s="86"/>
      <c r="HP138" s="86"/>
      <c r="HQ138" s="86"/>
      <c r="HR138" s="86"/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</row>
    <row r="139" spans="1:236" s="87" customFormat="1">
      <c r="A139" s="131"/>
      <c r="B139" s="61"/>
      <c r="C139" s="59"/>
      <c r="D139" s="59"/>
      <c r="E139" s="9"/>
      <c r="F139" s="233"/>
      <c r="G139" s="216"/>
      <c r="H139" s="132"/>
      <c r="I139" s="132"/>
      <c r="J139" s="132"/>
      <c r="K139" s="132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R139" s="86"/>
      <c r="GS139" s="86"/>
      <c r="GT139" s="86"/>
      <c r="GU139" s="86"/>
      <c r="GV139" s="86"/>
      <c r="GW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</row>
    <row r="140" spans="1:236" s="87" customFormat="1">
      <c r="A140" s="131"/>
      <c r="B140" s="61"/>
      <c r="C140" s="59"/>
      <c r="D140" s="59"/>
      <c r="E140" s="9"/>
      <c r="F140" s="233"/>
      <c r="G140" s="216"/>
      <c r="H140" s="132"/>
      <c r="I140" s="132"/>
      <c r="J140" s="132"/>
      <c r="K140" s="132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/>
      <c r="FU140" s="86"/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86"/>
      <c r="GQ140" s="86"/>
      <c r="GR140" s="86"/>
      <c r="GS140" s="86"/>
      <c r="GT140" s="86"/>
      <c r="GU140" s="86"/>
      <c r="GV140" s="86"/>
      <c r="GW140" s="86"/>
      <c r="GX140" s="86"/>
      <c r="GY140" s="86"/>
      <c r="GZ140" s="86"/>
      <c r="HA140" s="86"/>
      <c r="HB140" s="86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/>
      <c r="HN140" s="86"/>
      <c r="HO140" s="86"/>
      <c r="HP140" s="86"/>
      <c r="HQ140" s="86"/>
      <c r="HR140" s="86"/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</row>
    <row r="141" spans="1:236" s="87" customFormat="1">
      <c r="A141" s="131"/>
      <c r="B141" s="61"/>
      <c r="C141" s="59"/>
      <c r="D141" s="59"/>
      <c r="E141" s="9"/>
      <c r="F141" s="233"/>
      <c r="G141" s="216"/>
      <c r="H141" s="132"/>
      <c r="I141" s="132"/>
      <c r="J141" s="132"/>
      <c r="K141" s="132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  <c r="ER141" s="86"/>
      <c r="ES141" s="86"/>
      <c r="ET141" s="86"/>
      <c r="EU141" s="86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  <c r="FK141" s="86"/>
      <c r="FL141" s="86"/>
      <c r="FM141" s="86"/>
      <c r="FN141" s="86"/>
      <c r="FO141" s="86"/>
      <c r="FP141" s="86"/>
      <c r="FQ141" s="86"/>
      <c r="FR141" s="86"/>
      <c r="FS141" s="86"/>
      <c r="FT141" s="86"/>
      <c r="FU141" s="86"/>
      <c r="FV141" s="86"/>
      <c r="FW141" s="86"/>
      <c r="FX141" s="86"/>
      <c r="FY141" s="86"/>
      <c r="FZ141" s="86"/>
      <c r="GA141" s="86"/>
      <c r="GB141" s="86"/>
      <c r="GC141" s="86"/>
      <c r="GD141" s="86"/>
      <c r="GE141" s="86"/>
      <c r="GF141" s="86"/>
      <c r="GG141" s="86"/>
      <c r="GH141" s="86"/>
      <c r="GI141" s="86"/>
      <c r="GJ141" s="86"/>
      <c r="GK141" s="86"/>
      <c r="GL141" s="86"/>
      <c r="GM141" s="86"/>
      <c r="GN141" s="86"/>
      <c r="GO141" s="86"/>
      <c r="GP141" s="86"/>
      <c r="GQ141" s="86"/>
      <c r="GR141" s="86"/>
      <c r="GS141" s="86"/>
      <c r="GT141" s="86"/>
      <c r="GU141" s="86"/>
      <c r="GV141" s="86"/>
      <c r="GW141" s="86"/>
      <c r="GX141" s="86"/>
      <c r="GY141" s="86"/>
      <c r="GZ141" s="86"/>
      <c r="HA141" s="86"/>
      <c r="HB141" s="86"/>
      <c r="HC141" s="86"/>
      <c r="HD141" s="86"/>
      <c r="HE141" s="86"/>
      <c r="HF141" s="86"/>
      <c r="HG141" s="86"/>
      <c r="HH141" s="86"/>
      <c r="HI141" s="86"/>
      <c r="HJ141" s="86"/>
      <c r="HK141" s="86"/>
      <c r="HL141" s="86"/>
      <c r="HM141" s="86"/>
      <c r="HN141" s="86"/>
      <c r="HO141" s="86"/>
      <c r="HP141" s="86"/>
      <c r="HQ141" s="86"/>
      <c r="HR141" s="86"/>
      <c r="HS141" s="86"/>
      <c r="HT141" s="86"/>
      <c r="HU141" s="86"/>
      <c r="HV141" s="86"/>
      <c r="HW141" s="86"/>
      <c r="HX141" s="86"/>
      <c r="HY141" s="86"/>
      <c r="HZ141" s="86"/>
      <c r="IA141" s="86"/>
      <c r="IB141" s="86"/>
    </row>
    <row r="142" spans="1:236" s="87" customFormat="1">
      <c r="A142" s="131"/>
      <c r="B142" s="61"/>
      <c r="C142" s="59"/>
      <c r="D142" s="59"/>
      <c r="E142" s="9"/>
      <c r="F142" s="233"/>
      <c r="G142" s="216"/>
      <c r="H142" s="132"/>
      <c r="I142" s="132"/>
      <c r="J142" s="132"/>
      <c r="K142" s="132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  <c r="FS142" s="86"/>
      <c r="FT142" s="86"/>
      <c r="FU142" s="86"/>
      <c r="FV142" s="86"/>
      <c r="FW142" s="86"/>
      <c r="FX142" s="86"/>
      <c r="FY142" s="86"/>
      <c r="FZ142" s="86"/>
      <c r="GA142" s="86"/>
      <c r="GB142" s="86"/>
      <c r="GC142" s="86"/>
      <c r="GD142" s="86"/>
      <c r="GE142" s="86"/>
      <c r="GF142" s="86"/>
      <c r="GG142" s="86"/>
      <c r="GH142" s="86"/>
      <c r="GI142" s="86"/>
      <c r="GJ142" s="86"/>
      <c r="GK142" s="86"/>
      <c r="GL142" s="86"/>
      <c r="GM142" s="86"/>
      <c r="GN142" s="86"/>
      <c r="GO142" s="86"/>
      <c r="GP142" s="86"/>
      <c r="GQ142" s="86"/>
      <c r="GR142" s="86"/>
      <c r="GS142" s="86"/>
      <c r="GT142" s="86"/>
      <c r="GU142" s="86"/>
      <c r="GV142" s="86"/>
      <c r="GW142" s="86"/>
      <c r="GX142" s="86"/>
      <c r="GY142" s="86"/>
      <c r="GZ142" s="86"/>
      <c r="HA142" s="86"/>
      <c r="HB142" s="86"/>
      <c r="HC142" s="86"/>
      <c r="HD142" s="86"/>
      <c r="HE142" s="86"/>
      <c r="HF142" s="86"/>
      <c r="HG142" s="86"/>
      <c r="HH142" s="86"/>
      <c r="HI142" s="86"/>
      <c r="HJ142" s="86"/>
      <c r="HK142" s="86"/>
      <c r="HL142" s="86"/>
      <c r="HM142" s="86"/>
      <c r="HN142" s="86"/>
      <c r="HO142" s="86"/>
      <c r="HP142" s="86"/>
      <c r="HQ142" s="86"/>
      <c r="HR142" s="86"/>
      <c r="HS142" s="86"/>
      <c r="HT142" s="86"/>
      <c r="HU142" s="86"/>
      <c r="HV142" s="86"/>
      <c r="HW142" s="86"/>
      <c r="HX142" s="86"/>
      <c r="HY142" s="86"/>
      <c r="HZ142" s="86"/>
      <c r="IA142" s="86"/>
      <c r="IB142" s="86"/>
    </row>
    <row r="143" spans="1:236" s="87" customFormat="1">
      <c r="A143" s="131"/>
      <c r="B143" s="61"/>
      <c r="C143" s="59"/>
      <c r="D143" s="59"/>
      <c r="E143" s="9"/>
      <c r="F143" s="233"/>
      <c r="G143" s="216"/>
      <c r="H143" s="132"/>
      <c r="I143" s="132"/>
      <c r="J143" s="132"/>
      <c r="K143" s="132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  <c r="FS143" s="86"/>
      <c r="FT143" s="86"/>
      <c r="FU143" s="86"/>
      <c r="FV143" s="86"/>
      <c r="FW143" s="86"/>
      <c r="FX143" s="86"/>
      <c r="FY143" s="86"/>
      <c r="FZ143" s="86"/>
      <c r="GA143" s="86"/>
      <c r="GB143" s="86"/>
      <c r="GC143" s="86"/>
      <c r="GD143" s="86"/>
      <c r="GE143" s="86"/>
      <c r="GF143" s="86"/>
      <c r="GG143" s="86"/>
      <c r="GH143" s="86"/>
      <c r="GI143" s="86"/>
      <c r="GJ143" s="86"/>
      <c r="GK143" s="86"/>
      <c r="GL143" s="86"/>
      <c r="GM143" s="86"/>
      <c r="GN143" s="86"/>
      <c r="GO143" s="86"/>
      <c r="GP143" s="86"/>
      <c r="GQ143" s="86"/>
      <c r="GR143" s="86"/>
      <c r="GS143" s="86"/>
      <c r="GT143" s="86"/>
      <c r="GU143" s="86"/>
      <c r="GV143" s="86"/>
      <c r="GW143" s="86"/>
      <c r="GX143" s="86"/>
      <c r="GY143" s="86"/>
      <c r="GZ143" s="86"/>
      <c r="HA143" s="86"/>
      <c r="HB143" s="86"/>
      <c r="HC143" s="86"/>
      <c r="HD143" s="86"/>
      <c r="HE143" s="86"/>
      <c r="HF143" s="86"/>
      <c r="HG143" s="86"/>
      <c r="HH143" s="86"/>
      <c r="HI143" s="86"/>
      <c r="HJ143" s="86"/>
      <c r="HK143" s="86"/>
      <c r="HL143" s="86"/>
      <c r="HM143" s="86"/>
      <c r="HN143" s="86"/>
      <c r="HO143" s="86"/>
      <c r="HP143" s="86"/>
      <c r="HQ143" s="86"/>
      <c r="HR143" s="86"/>
      <c r="HS143" s="86"/>
      <c r="HT143" s="86"/>
      <c r="HU143" s="86"/>
      <c r="HV143" s="86"/>
      <c r="HW143" s="86"/>
      <c r="HX143" s="86"/>
      <c r="HY143" s="86"/>
      <c r="HZ143" s="86"/>
      <c r="IA143" s="86"/>
      <c r="IB143" s="86"/>
    </row>
    <row r="144" spans="1:236" s="87" customFormat="1">
      <c r="A144" s="131"/>
      <c r="B144" s="61"/>
      <c r="C144" s="59"/>
      <c r="D144" s="59"/>
      <c r="E144" s="9"/>
      <c r="F144" s="233"/>
      <c r="G144" s="216"/>
      <c r="H144" s="132"/>
      <c r="I144" s="132"/>
      <c r="J144" s="132"/>
      <c r="K144" s="132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  <c r="FS144" s="86"/>
      <c r="FT144" s="86"/>
      <c r="FU144" s="86"/>
      <c r="FV144" s="86"/>
      <c r="FW144" s="86"/>
      <c r="FX144" s="86"/>
      <c r="FY144" s="86"/>
      <c r="FZ144" s="86"/>
      <c r="GA144" s="86"/>
      <c r="GB144" s="86"/>
      <c r="GC144" s="86"/>
      <c r="GD144" s="86"/>
      <c r="GE144" s="86"/>
      <c r="GF144" s="86"/>
      <c r="GG144" s="86"/>
      <c r="GH144" s="86"/>
      <c r="GI144" s="86"/>
      <c r="GJ144" s="86"/>
      <c r="GK144" s="86"/>
      <c r="GL144" s="86"/>
      <c r="GM144" s="86"/>
      <c r="GN144" s="86"/>
      <c r="GO144" s="86"/>
      <c r="GP144" s="86"/>
      <c r="GQ144" s="86"/>
      <c r="GR144" s="86"/>
      <c r="GS144" s="86"/>
      <c r="GT144" s="86"/>
      <c r="GU144" s="86"/>
      <c r="GV144" s="86"/>
      <c r="GW144" s="86"/>
      <c r="GX144" s="86"/>
      <c r="GY144" s="86"/>
      <c r="GZ144" s="86"/>
      <c r="HA144" s="86"/>
      <c r="HB144" s="86"/>
      <c r="HC144" s="86"/>
      <c r="HD144" s="86"/>
      <c r="HE144" s="86"/>
      <c r="HF144" s="86"/>
      <c r="HG144" s="86"/>
      <c r="HH144" s="86"/>
      <c r="HI144" s="86"/>
      <c r="HJ144" s="86"/>
      <c r="HK144" s="86"/>
      <c r="HL144" s="86"/>
      <c r="HM144" s="86"/>
      <c r="HN144" s="86"/>
      <c r="HO144" s="86"/>
      <c r="HP144" s="86"/>
      <c r="HQ144" s="86"/>
      <c r="HR144" s="86"/>
      <c r="HS144" s="86"/>
      <c r="HT144" s="86"/>
      <c r="HU144" s="86"/>
      <c r="HV144" s="86"/>
      <c r="HW144" s="86"/>
      <c r="HX144" s="86"/>
      <c r="HY144" s="86"/>
      <c r="HZ144" s="86"/>
      <c r="IA144" s="86"/>
      <c r="IB144" s="86"/>
    </row>
    <row r="145" spans="1:236" s="87" customFormat="1">
      <c r="A145" s="131"/>
      <c r="B145" s="61"/>
      <c r="C145" s="59"/>
      <c r="D145" s="59"/>
      <c r="E145" s="9"/>
      <c r="F145" s="233"/>
      <c r="G145" s="216"/>
      <c r="H145" s="132"/>
      <c r="I145" s="132"/>
      <c r="J145" s="132"/>
      <c r="K145" s="132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  <c r="FS145" s="86"/>
      <c r="FT145" s="86"/>
      <c r="FU145" s="86"/>
      <c r="FV145" s="86"/>
      <c r="FW145" s="86"/>
      <c r="FX145" s="86"/>
      <c r="FY145" s="86"/>
      <c r="FZ145" s="86"/>
      <c r="GA145" s="86"/>
      <c r="GB145" s="86"/>
      <c r="GC145" s="86"/>
      <c r="GD145" s="86"/>
      <c r="GE145" s="86"/>
      <c r="GF145" s="86"/>
      <c r="GG145" s="86"/>
      <c r="GH145" s="86"/>
      <c r="GI145" s="86"/>
      <c r="GJ145" s="86"/>
      <c r="GK145" s="86"/>
      <c r="GL145" s="86"/>
      <c r="GM145" s="86"/>
      <c r="GN145" s="86"/>
      <c r="GO145" s="86"/>
      <c r="GP145" s="86"/>
      <c r="GQ145" s="86"/>
      <c r="GR145" s="86"/>
      <c r="GS145" s="86"/>
      <c r="GT145" s="86"/>
      <c r="GU145" s="86"/>
      <c r="GV145" s="86"/>
      <c r="GW145" s="86"/>
      <c r="GX145" s="86"/>
      <c r="GY145" s="86"/>
      <c r="GZ145" s="86"/>
      <c r="HA145" s="86"/>
      <c r="HB145" s="86"/>
      <c r="HC145" s="86"/>
      <c r="HD145" s="86"/>
      <c r="HE145" s="86"/>
      <c r="HF145" s="86"/>
      <c r="HG145" s="86"/>
      <c r="HH145" s="86"/>
      <c r="HI145" s="86"/>
      <c r="HJ145" s="86"/>
      <c r="HK145" s="86"/>
      <c r="HL145" s="86"/>
      <c r="HM145" s="86"/>
      <c r="HN145" s="86"/>
      <c r="HO145" s="86"/>
      <c r="HP145" s="86"/>
      <c r="HQ145" s="86"/>
      <c r="HR145" s="86"/>
      <c r="HS145" s="86"/>
      <c r="HT145" s="86"/>
      <c r="HU145" s="86"/>
      <c r="HV145" s="86"/>
      <c r="HW145" s="86"/>
      <c r="HX145" s="86"/>
      <c r="HY145" s="86"/>
      <c r="HZ145" s="86"/>
      <c r="IA145" s="86"/>
      <c r="IB145" s="86"/>
    </row>
    <row r="146" spans="1:236" s="87" customFormat="1">
      <c r="A146" s="131"/>
      <c r="B146" s="61"/>
      <c r="C146" s="59"/>
      <c r="D146" s="59"/>
      <c r="E146" s="9"/>
      <c r="F146" s="233"/>
      <c r="G146" s="216"/>
      <c r="H146" s="132"/>
      <c r="I146" s="132"/>
      <c r="J146" s="132"/>
      <c r="K146" s="132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  <c r="FS146" s="86"/>
      <c r="FT146" s="86"/>
      <c r="FU146" s="86"/>
      <c r="FV146" s="86"/>
      <c r="FW146" s="86"/>
      <c r="FX146" s="8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86"/>
      <c r="GK146" s="86"/>
      <c r="GL146" s="86"/>
      <c r="GM146" s="86"/>
      <c r="GN146" s="86"/>
      <c r="GO146" s="86"/>
      <c r="GP146" s="86"/>
      <c r="GQ146" s="86"/>
      <c r="GR146" s="86"/>
      <c r="GS146" s="86"/>
      <c r="GT146" s="86"/>
      <c r="GU146" s="86"/>
      <c r="GV146" s="86"/>
      <c r="GW146" s="86"/>
      <c r="GX146" s="86"/>
      <c r="GY146" s="86"/>
      <c r="GZ146" s="86"/>
      <c r="HA146" s="86"/>
      <c r="HB146" s="86"/>
      <c r="HC146" s="86"/>
      <c r="HD146" s="86"/>
      <c r="HE146" s="86"/>
      <c r="HF146" s="86"/>
      <c r="HG146" s="86"/>
      <c r="HH146" s="86"/>
      <c r="HI146" s="86"/>
      <c r="HJ146" s="86"/>
      <c r="HK146" s="86"/>
      <c r="HL146" s="86"/>
      <c r="HM146" s="86"/>
      <c r="HN146" s="86"/>
      <c r="HO146" s="86"/>
      <c r="HP146" s="86"/>
      <c r="HQ146" s="86"/>
      <c r="HR146" s="86"/>
      <c r="HS146" s="86"/>
      <c r="HT146" s="86"/>
      <c r="HU146" s="86"/>
      <c r="HV146" s="86"/>
      <c r="HW146" s="86"/>
      <c r="HX146" s="86"/>
      <c r="HY146" s="86"/>
      <c r="HZ146" s="86"/>
      <c r="IA146" s="86"/>
      <c r="IB146" s="86"/>
    </row>
    <row r="147" spans="1:236" s="87" customFormat="1">
      <c r="A147" s="131"/>
      <c r="B147" s="61"/>
      <c r="C147" s="59"/>
      <c r="D147" s="59"/>
      <c r="E147" s="9"/>
      <c r="F147" s="233"/>
      <c r="G147" s="216"/>
      <c r="H147" s="132"/>
      <c r="I147" s="132"/>
      <c r="J147" s="132"/>
      <c r="K147" s="132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86"/>
      <c r="GQ147" s="86"/>
      <c r="GR147" s="86"/>
      <c r="GS147" s="86"/>
      <c r="GT147" s="86"/>
      <c r="GU147" s="86"/>
      <c r="GV147" s="86"/>
      <c r="GW147" s="86"/>
      <c r="GX147" s="86"/>
      <c r="GY147" s="86"/>
      <c r="GZ147" s="86"/>
      <c r="HA147" s="86"/>
      <c r="HB147" s="86"/>
      <c r="HC147" s="86"/>
      <c r="HD147" s="86"/>
      <c r="HE147" s="86"/>
      <c r="HF147" s="86"/>
      <c r="HG147" s="86"/>
      <c r="HH147" s="86"/>
      <c r="HI147" s="86"/>
      <c r="HJ147" s="86"/>
      <c r="HK147" s="86"/>
      <c r="HL147" s="86"/>
      <c r="HM147" s="86"/>
      <c r="HN147" s="86"/>
      <c r="HO147" s="86"/>
      <c r="HP147" s="86"/>
      <c r="HQ147" s="86"/>
      <c r="HR147" s="86"/>
      <c r="HS147" s="86"/>
      <c r="HT147" s="86"/>
      <c r="HU147" s="86"/>
      <c r="HV147" s="86"/>
      <c r="HW147" s="86"/>
      <c r="HX147" s="86"/>
      <c r="HY147" s="86"/>
      <c r="HZ147" s="86"/>
      <c r="IA147" s="86"/>
      <c r="IB147" s="86"/>
    </row>
    <row r="148" spans="1:236" s="87" customFormat="1">
      <c r="A148" s="131"/>
      <c r="B148" s="61"/>
      <c r="C148" s="59"/>
      <c r="D148" s="59"/>
      <c r="E148" s="9"/>
      <c r="F148" s="233"/>
      <c r="G148" s="216"/>
      <c r="H148" s="132"/>
      <c r="I148" s="132"/>
      <c r="J148" s="132"/>
      <c r="K148" s="132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86"/>
      <c r="FL148" s="86"/>
      <c r="FM148" s="86"/>
      <c r="FN148" s="86"/>
      <c r="FO148" s="86"/>
      <c r="FP148" s="86"/>
      <c r="FQ148" s="86"/>
      <c r="FR148" s="86"/>
      <c r="FS148" s="86"/>
      <c r="FT148" s="86"/>
      <c r="FU148" s="86"/>
      <c r="FV148" s="86"/>
      <c r="FW148" s="86"/>
      <c r="FX148" s="86"/>
      <c r="FY148" s="86"/>
      <c r="FZ148" s="86"/>
      <c r="GA148" s="86"/>
      <c r="GB148" s="86"/>
      <c r="GC148" s="86"/>
      <c r="GD148" s="86"/>
      <c r="GE148" s="86"/>
      <c r="GF148" s="86"/>
      <c r="GG148" s="86"/>
      <c r="GH148" s="86"/>
      <c r="GI148" s="86"/>
      <c r="GJ148" s="86"/>
      <c r="GK148" s="86"/>
      <c r="GL148" s="86"/>
      <c r="GM148" s="86"/>
      <c r="GN148" s="86"/>
      <c r="GO148" s="86"/>
      <c r="GP148" s="86"/>
      <c r="GQ148" s="86"/>
      <c r="GR148" s="86"/>
      <c r="GS148" s="86"/>
      <c r="GT148" s="86"/>
      <c r="GU148" s="86"/>
      <c r="GV148" s="86"/>
      <c r="GW148" s="86"/>
      <c r="GX148" s="86"/>
      <c r="GY148" s="86"/>
      <c r="GZ148" s="86"/>
      <c r="HA148" s="86"/>
      <c r="HB148" s="86"/>
      <c r="HC148" s="86"/>
      <c r="HD148" s="86"/>
      <c r="HE148" s="86"/>
      <c r="HF148" s="86"/>
      <c r="HG148" s="86"/>
      <c r="HH148" s="86"/>
      <c r="HI148" s="86"/>
      <c r="HJ148" s="86"/>
      <c r="HK148" s="86"/>
      <c r="HL148" s="86"/>
      <c r="HM148" s="86"/>
      <c r="HN148" s="86"/>
      <c r="HO148" s="86"/>
      <c r="HP148" s="86"/>
      <c r="HQ148" s="86"/>
      <c r="HR148" s="86"/>
      <c r="HS148" s="86"/>
      <c r="HT148" s="86"/>
      <c r="HU148" s="86"/>
      <c r="HV148" s="86"/>
      <c r="HW148" s="86"/>
      <c r="HX148" s="86"/>
      <c r="HY148" s="86"/>
      <c r="HZ148" s="86"/>
      <c r="IA148" s="86"/>
      <c r="IB148" s="86"/>
    </row>
    <row r="149" spans="1:236" s="87" customFormat="1">
      <c r="A149" s="131"/>
      <c r="B149" s="61"/>
      <c r="C149" s="59"/>
      <c r="D149" s="59"/>
      <c r="E149" s="9"/>
      <c r="F149" s="233"/>
      <c r="G149" s="216"/>
      <c r="H149" s="132"/>
      <c r="I149" s="132"/>
      <c r="J149" s="132"/>
      <c r="K149" s="132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86"/>
      <c r="GK149" s="86"/>
      <c r="GL149" s="86"/>
      <c r="GM149" s="86"/>
      <c r="GN149" s="86"/>
      <c r="GO149" s="86"/>
      <c r="GP149" s="86"/>
      <c r="GQ149" s="86"/>
      <c r="GR149" s="86"/>
      <c r="GS149" s="86"/>
      <c r="GT149" s="86"/>
      <c r="GU149" s="86"/>
      <c r="GV149" s="86"/>
      <c r="GW149" s="86"/>
      <c r="GX149" s="86"/>
      <c r="GY149" s="86"/>
      <c r="GZ149" s="86"/>
      <c r="HA149" s="86"/>
      <c r="HB149" s="86"/>
      <c r="HC149" s="86"/>
      <c r="HD149" s="86"/>
      <c r="HE149" s="86"/>
      <c r="HF149" s="86"/>
      <c r="HG149" s="86"/>
      <c r="HH149" s="86"/>
      <c r="HI149" s="86"/>
      <c r="HJ149" s="86"/>
      <c r="HK149" s="86"/>
      <c r="HL149" s="86"/>
      <c r="HM149" s="86"/>
      <c r="HN149" s="86"/>
      <c r="HO149" s="86"/>
      <c r="HP149" s="86"/>
      <c r="HQ149" s="86"/>
      <c r="HR149" s="86"/>
      <c r="HS149" s="86"/>
      <c r="HT149" s="86"/>
      <c r="HU149" s="86"/>
      <c r="HV149" s="86"/>
      <c r="HW149" s="86"/>
      <c r="HX149" s="86"/>
      <c r="HY149" s="86"/>
      <c r="HZ149" s="86"/>
      <c r="IA149" s="86"/>
      <c r="IB149" s="86"/>
    </row>
    <row r="150" spans="1:236" s="87" customFormat="1">
      <c r="A150" s="131"/>
      <c r="B150" s="61"/>
      <c r="C150" s="59"/>
      <c r="D150" s="59"/>
      <c r="E150" s="9"/>
      <c r="F150" s="233"/>
      <c r="G150" s="216"/>
      <c r="H150" s="132"/>
      <c r="I150" s="132"/>
      <c r="J150" s="132"/>
      <c r="K150" s="132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  <c r="FS150" s="86"/>
      <c r="FT150" s="86"/>
      <c r="FU150" s="86"/>
      <c r="FV150" s="86"/>
      <c r="FW150" s="86"/>
      <c r="FX150" s="86"/>
      <c r="FY150" s="86"/>
      <c r="FZ150" s="86"/>
      <c r="GA150" s="86"/>
      <c r="GB150" s="86"/>
      <c r="GC150" s="86"/>
      <c r="GD150" s="86"/>
      <c r="GE150" s="86"/>
      <c r="GF150" s="86"/>
      <c r="GG150" s="86"/>
      <c r="GH150" s="86"/>
      <c r="GI150" s="86"/>
      <c r="GJ150" s="86"/>
      <c r="GK150" s="86"/>
      <c r="GL150" s="86"/>
      <c r="GM150" s="86"/>
      <c r="GN150" s="86"/>
      <c r="GO150" s="86"/>
      <c r="GP150" s="86"/>
      <c r="GQ150" s="86"/>
      <c r="GR150" s="86"/>
      <c r="GS150" s="86"/>
      <c r="GT150" s="86"/>
      <c r="GU150" s="86"/>
      <c r="GV150" s="86"/>
      <c r="GW150" s="86"/>
      <c r="GX150" s="86"/>
      <c r="GY150" s="86"/>
      <c r="GZ150" s="86"/>
      <c r="HA150" s="86"/>
      <c r="HB150" s="86"/>
      <c r="HC150" s="86"/>
      <c r="HD150" s="86"/>
      <c r="HE150" s="86"/>
      <c r="HF150" s="86"/>
      <c r="HG150" s="86"/>
      <c r="HH150" s="86"/>
      <c r="HI150" s="86"/>
      <c r="HJ150" s="86"/>
      <c r="HK150" s="86"/>
      <c r="HL150" s="86"/>
      <c r="HM150" s="86"/>
      <c r="HN150" s="86"/>
      <c r="HO150" s="86"/>
      <c r="HP150" s="86"/>
      <c r="HQ150" s="86"/>
      <c r="HR150" s="86"/>
      <c r="HS150" s="86"/>
      <c r="HT150" s="86"/>
      <c r="HU150" s="86"/>
      <c r="HV150" s="86"/>
      <c r="HW150" s="86"/>
      <c r="HX150" s="86"/>
      <c r="HY150" s="86"/>
      <c r="HZ150" s="86"/>
      <c r="IA150" s="86"/>
      <c r="IB150" s="86"/>
    </row>
    <row r="151" spans="1:236" s="87" customFormat="1">
      <c r="A151" s="131"/>
      <c r="B151" s="61"/>
      <c r="C151" s="59"/>
      <c r="D151" s="59"/>
      <c r="E151" s="9"/>
      <c r="F151" s="233"/>
      <c r="G151" s="216"/>
      <c r="H151" s="132"/>
      <c r="I151" s="132"/>
      <c r="J151" s="132"/>
      <c r="K151" s="132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  <c r="FK151" s="86"/>
      <c r="FL151" s="86"/>
      <c r="FM151" s="86"/>
      <c r="FN151" s="86"/>
      <c r="FO151" s="86"/>
      <c r="FP151" s="86"/>
      <c r="FQ151" s="86"/>
      <c r="FR151" s="86"/>
      <c r="FS151" s="86"/>
      <c r="FT151" s="86"/>
      <c r="FU151" s="86"/>
      <c r="FV151" s="86"/>
      <c r="FW151" s="86"/>
      <c r="FX151" s="86"/>
      <c r="FY151" s="86"/>
      <c r="FZ151" s="86"/>
      <c r="GA151" s="86"/>
      <c r="GB151" s="86"/>
      <c r="GC151" s="86"/>
      <c r="GD151" s="86"/>
      <c r="GE151" s="86"/>
      <c r="GF151" s="86"/>
      <c r="GG151" s="86"/>
      <c r="GH151" s="86"/>
      <c r="GI151" s="86"/>
      <c r="GJ151" s="86"/>
      <c r="GK151" s="86"/>
      <c r="GL151" s="86"/>
      <c r="GM151" s="86"/>
      <c r="GN151" s="86"/>
      <c r="GO151" s="86"/>
      <c r="GP151" s="86"/>
      <c r="GQ151" s="86"/>
      <c r="GR151" s="86"/>
      <c r="GS151" s="86"/>
      <c r="GT151" s="86"/>
      <c r="GU151" s="86"/>
      <c r="GV151" s="86"/>
      <c r="GW151" s="86"/>
      <c r="GX151" s="86"/>
      <c r="GY151" s="86"/>
      <c r="GZ151" s="86"/>
      <c r="HA151" s="86"/>
      <c r="HB151" s="86"/>
      <c r="HC151" s="86"/>
      <c r="HD151" s="86"/>
      <c r="HE151" s="86"/>
      <c r="HF151" s="86"/>
      <c r="HG151" s="86"/>
      <c r="HH151" s="86"/>
      <c r="HI151" s="86"/>
      <c r="HJ151" s="86"/>
      <c r="HK151" s="86"/>
      <c r="HL151" s="86"/>
      <c r="HM151" s="86"/>
      <c r="HN151" s="86"/>
      <c r="HO151" s="86"/>
      <c r="HP151" s="86"/>
      <c r="HQ151" s="86"/>
      <c r="HR151" s="86"/>
      <c r="HS151" s="86"/>
      <c r="HT151" s="86"/>
      <c r="HU151" s="86"/>
      <c r="HV151" s="86"/>
      <c r="HW151" s="86"/>
      <c r="HX151" s="86"/>
      <c r="HY151" s="86"/>
      <c r="HZ151" s="86"/>
      <c r="IA151" s="86"/>
      <c r="IB151" s="86"/>
    </row>
    <row r="152" spans="1:236" s="87" customFormat="1">
      <c r="A152" s="131"/>
      <c r="B152" s="61"/>
      <c r="C152" s="59"/>
      <c r="D152" s="59"/>
      <c r="E152" s="9"/>
      <c r="F152" s="233"/>
      <c r="G152" s="216"/>
      <c r="H152" s="132"/>
      <c r="I152" s="132"/>
      <c r="J152" s="132"/>
      <c r="K152" s="132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  <c r="FK152" s="86"/>
      <c r="FL152" s="86"/>
      <c r="FM152" s="86"/>
      <c r="FN152" s="86"/>
      <c r="FO152" s="86"/>
      <c r="FP152" s="86"/>
      <c r="FQ152" s="86"/>
      <c r="FR152" s="86"/>
      <c r="FS152" s="86"/>
      <c r="FT152" s="86"/>
      <c r="FU152" s="86"/>
      <c r="FV152" s="86"/>
      <c r="FW152" s="86"/>
      <c r="FX152" s="86"/>
      <c r="FY152" s="86"/>
      <c r="FZ152" s="86"/>
      <c r="GA152" s="86"/>
      <c r="GB152" s="86"/>
      <c r="GC152" s="86"/>
      <c r="GD152" s="86"/>
      <c r="GE152" s="86"/>
      <c r="GF152" s="86"/>
      <c r="GG152" s="86"/>
      <c r="GH152" s="86"/>
      <c r="GI152" s="86"/>
      <c r="GJ152" s="86"/>
      <c r="GK152" s="86"/>
      <c r="GL152" s="86"/>
      <c r="GM152" s="86"/>
      <c r="GN152" s="86"/>
      <c r="GO152" s="86"/>
      <c r="GP152" s="86"/>
      <c r="GQ152" s="86"/>
      <c r="GR152" s="86"/>
      <c r="GS152" s="86"/>
      <c r="GT152" s="86"/>
      <c r="GU152" s="86"/>
      <c r="GV152" s="86"/>
      <c r="GW152" s="86"/>
      <c r="GX152" s="86"/>
      <c r="GY152" s="86"/>
      <c r="GZ152" s="86"/>
      <c r="HA152" s="86"/>
      <c r="HB152" s="86"/>
      <c r="HC152" s="86"/>
      <c r="HD152" s="86"/>
      <c r="HE152" s="86"/>
      <c r="HF152" s="86"/>
      <c r="HG152" s="86"/>
      <c r="HH152" s="86"/>
      <c r="HI152" s="86"/>
      <c r="HJ152" s="86"/>
      <c r="HK152" s="86"/>
      <c r="HL152" s="86"/>
      <c r="HM152" s="86"/>
      <c r="HN152" s="86"/>
      <c r="HO152" s="86"/>
      <c r="HP152" s="86"/>
      <c r="HQ152" s="86"/>
      <c r="HR152" s="86"/>
      <c r="HS152" s="86"/>
      <c r="HT152" s="86"/>
      <c r="HU152" s="86"/>
      <c r="HV152" s="86"/>
      <c r="HW152" s="86"/>
      <c r="HX152" s="86"/>
      <c r="HY152" s="86"/>
      <c r="HZ152" s="86"/>
      <c r="IA152" s="86"/>
      <c r="IB152" s="86"/>
    </row>
    <row r="153" spans="1:236" s="87" customFormat="1">
      <c r="A153" s="131"/>
      <c r="B153" s="61"/>
      <c r="C153" s="59"/>
      <c r="D153" s="59"/>
      <c r="E153" s="9"/>
      <c r="F153" s="233"/>
      <c r="G153" s="216"/>
      <c r="H153" s="132"/>
      <c r="I153" s="132"/>
      <c r="J153" s="132"/>
      <c r="K153" s="132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  <c r="FE153" s="86"/>
      <c r="FF153" s="86"/>
      <c r="FG153" s="86"/>
      <c r="FH153" s="86"/>
      <c r="FI153" s="86"/>
      <c r="FJ153" s="86"/>
      <c r="FK153" s="86"/>
      <c r="FL153" s="86"/>
      <c r="FM153" s="86"/>
      <c r="FN153" s="86"/>
      <c r="FO153" s="86"/>
      <c r="FP153" s="86"/>
      <c r="FQ153" s="86"/>
      <c r="FR153" s="86"/>
      <c r="FS153" s="86"/>
      <c r="FT153" s="86"/>
      <c r="FU153" s="86"/>
      <c r="FV153" s="86"/>
      <c r="FW153" s="86"/>
      <c r="FX153" s="86"/>
      <c r="FY153" s="86"/>
      <c r="FZ153" s="86"/>
      <c r="GA153" s="86"/>
      <c r="GB153" s="86"/>
      <c r="GC153" s="86"/>
      <c r="GD153" s="86"/>
      <c r="GE153" s="86"/>
      <c r="GF153" s="86"/>
      <c r="GG153" s="86"/>
      <c r="GH153" s="86"/>
      <c r="GI153" s="86"/>
      <c r="GJ153" s="86"/>
      <c r="GK153" s="86"/>
      <c r="GL153" s="86"/>
      <c r="GM153" s="86"/>
      <c r="GN153" s="86"/>
      <c r="GO153" s="86"/>
      <c r="GP153" s="86"/>
      <c r="GQ153" s="86"/>
      <c r="GR153" s="86"/>
      <c r="GS153" s="86"/>
      <c r="GT153" s="86"/>
      <c r="GU153" s="86"/>
      <c r="GV153" s="86"/>
      <c r="GW153" s="86"/>
      <c r="GX153" s="86"/>
      <c r="GY153" s="86"/>
      <c r="GZ153" s="86"/>
      <c r="HA153" s="86"/>
      <c r="HB153" s="86"/>
      <c r="HC153" s="86"/>
      <c r="HD153" s="86"/>
      <c r="HE153" s="86"/>
      <c r="HF153" s="86"/>
      <c r="HG153" s="86"/>
      <c r="HH153" s="86"/>
      <c r="HI153" s="86"/>
      <c r="HJ153" s="86"/>
      <c r="HK153" s="86"/>
      <c r="HL153" s="86"/>
      <c r="HM153" s="86"/>
      <c r="HN153" s="86"/>
      <c r="HO153" s="86"/>
      <c r="HP153" s="86"/>
      <c r="HQ153" s="86"/>
      <c r="HR153" s="86"/>
      <c r="HS153" s="86"/>
      <c r="HT153" s="86"/>
      <c r="HU153" s="86"/>
      <c r="HV153" s="86"/>
      <c r="HW153" s="86"/>
      <c r="HX153" s="86"/>
      <c r="HY153" s="86"/>
      <c r="HZ153" s="86"/>
      <c r="IA153" s="86"/>
      <c r="IB153" s="86"/>
    </row>
    <row r="154" spans="1:236" s="87" customFormat="1">
      <c r="A154" s="131"/>
      <c r="B154" s="61"/>
      <c r="C154" s="59"/>
      <c r="D154" s="59"/>
      <c r="E154" s="9"/>
      <c r="F154" s="233"/>
      <c r="G154" s="216"/>
      <c r="H154" s="132"/>
      <c r="I154" s="132"/>
      <c r="J154" s="132"/>
      <c r="K154" s="132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  <c r="FK154" s="86"/>
      <c r="FL154" s="86"/>
      <c r="FM154" s="86"/>
      <c r="FN154" s="86"/>
      <c r="FO154" s="86"/>
      <c r="FP154" s="86"/>
      <c r="FQ154" s="86"/>
      <c r="FR154" s="86"/>
      <c r="FS154" s="86"/>
      <c r="FT154" s="86"/>
      <c r="FU154" s="86"/>
      <c r="FV154" s="86"/>
      <c r="FW154" s="86"/>
      <c r="FX154" s="86"/>
      <c r="FY154" s="86"/>
      <c r="FZ154" s="86"/>
      <c r="GA154" s="86"/>
      <c r="GB154" s="86"/>
      <c r="GC154" s="86"/>
      <c r="GD154" s="86"/>
      <c r="GE154" s="86"/>
      <c r="GF154" s="86"/>
      <c r="GG154" s="86"/>
      <c r="GH154" s="86"/>
      <c r="GI154" s="86"/>
      <c r="GJ154" s="86"/>
      <c r="GK154" s="86"/>
      <c r="GL154" s="86"/>
      <c r="GM154" s="86"/>
      <c r="GN154" s="86"/>
      <c r="GO154" s="86"/>
      <c r="GP154" s="86"/>
      <c r="GQ154" s="86"/>
      <c r="GR154" s="86"/>
      <c r="GS154" s="86"/>
      <c r="GT154" s="86"/>
      <c r="GU154" s="86"/>
      <c r="GV154" s="86"/>
      <c r="GW154" s="86"/>
      <c r="GX154" s="86"/>
      <c r="GY154" s="86"/>
      <c r="GZ154" s="86"/>
      <c r="HA154" s="86"/>
      <c r="HB154" s="86"/>
      <c r="HC154" s="86"/>
      <c r="HD154" s="86"/>
      <c r="HE154" s="86"/>
      <c r="HF154" s="86"/>
      <c r="HG154" s="86"/>
      <c r="HH154" s="86"/>
      <c r="HI154" s="86"/>
      <c r="HJ154" s="86"/>
      <c r="HK154" s="86"/>
      <c r="HL154" s="86"/>
      <c r="HM154" s="86"/>
      <c r="HN154" s="86"/>
      <c r="HO154" s="86"/>
      <c r="HP154" s="86"/>
      <c r="HQ154" s="86"/>
      <c r="HR154" s="86"/>
      <c r="HS154" s="86"/>
      <c r="HT154" s="86"/>
      <c r="HU154" s="86"/>
      <c r="HV154" s="86"/>
      <c r="HW154" s="86"/>
      <c r="HX154" s="86"/>
      <c r="HY154" s="86"/>
      <c r="HZ154" s="86"/>
      <c r="IA154" s="86"/>
      <c r="IB154" s="86"/>
    </row>
    <row r="155" spans="1:236" s="87" customFormat="1">
      <c r="A155" s="131"/>
      <c r="B155" s="61"/>
      <c r="C155" s="59"/>
      <c r="D155" s="59"/>
      <c r="E155" s="9"/>
      <c r="F155" s="233"/>
      <c r="G155" s="216"/>
      <c r="H155" s="132"/>
      <c r="I155" s="132"/>
      <c r="J155" s="132"/>
      <c r="K155" s="132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  <c r="FK155" s="86"/>
      <c r="FL155" s="86"/>
      <c r="FM155" s="86"/>
      <c r="FN155" s="86"/>
      <c r="FO155" s="86"/>
      <c r="FP155" s="86"/>
      <c r="FQ155" s="86"/>
      <c r="FR155" s="86"/>
      <c r="FS155" s="86"/>
      <c r="FT155" s="86"/>
      <c r="FU155" s="86"/>
      <c r="FV155" s="86"/>
      <c r="FW155" s="86"/>
      <c r="FX155" s="86"/>
      <c r="FY155" s="86"/>
      <c r="FZ155" s="86"/>
      <c r="GA155" s="86"/>
      <c r="GB155" s="86"/>
      <c r="GC155" s="86"/>
      <c r="GD155" s="86"/>
      <c r="GE155" s="86"/>
      <c r="GF155" s="86"/>
      <c r="GG155" s="86"/>
      <c r="GH155" s="86"/>
      <c r="GI155" s="86"/>
      <c r="GJ155" s="86"/>
      <c r="GK155" s="86"/>
      <c r="GL155" s="86"/>
      <c r="GM155" s="86"/>
      <c r="GN155" s="86"/>
      <c r="GO155" s="86"/>
      <c r="GP155" s="86"/>
      <c r="GQ155" s="86"/>
      <c r="GR155" s="86"/>
      <c r="GS155" s="86"/>
      <c r="GT155" s="86"/>
      <c r="GU155" s="86"/>
      <c r="GV155" s="86"/>
      <c r="GW155" s="86"/>
      <c r="GX155" s="86"/>
      <c r="GY155" s="86"/>
      <c r="GZ155" s="86"/>
      <c r="HA155" s="86"/>
      <c r="HB155" s="86"/>
      <c r="HC155" s="86"/>
      <c r="HD155" s="86"/>
      <c r="HE155" s="86"/>
      <c r="HF155" s="86"/>
      <c r="HG155" s="86"/>
      <c r="HH155" s="86"/>
      <c r="HI155" s="86"/>
      <c r="HJ155" s="86"/>
      <c r="HK155" s="86"/>
      <c r="HL155" s="86"/>
      <c r="HM155" s="86"/>
      <c r="HN155" s="86"/>
      <c r="HO155" s="86"/>
      <c r="HP155" s="86"/>
      <c r="HQ155" s="86"/>
      <c r="HR155" s="86"/>
      <c r="HS155" s="86"/>
      <c r="HT155" s="86"/>
      <c r="HU155" s="86"/>
      <c r="HV155" s="86"/>
      <c r="HW155" s="86"/>
      <c r="HX155" s="86"/>
      <c r="HY155" s="86"/>
      <c r="HZ155" s="86"/>
      <c r="IA155" s="86"/>
      <c r="IB155" s="86"/>
    </row>
    <row r="156" spans="1:236" s="87" customFormat="1">
      <c r="A156" s="131"/>
      <c r="B156" s="61"/>
      <c r="C156" s="59"/>
      <c r="D156" s="59"/>
      <c r="E156" s="9"/>
      <c r="F156" s="233"/>
      <c r="G156" s="216"/>
      <c r="H156" s="132"/>
      <c r="I156" s="132"/>
      <c r="J156" s="132"/>
      <c r="K156" s="132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  <c r="FK156" s="86"/>
      <c r="FL156" s="86"/>
      <c r="FM156" s="86"/>
      <c r="FN156" s="86"/>
      <c r="FO156" s="86"/>
      <c r="FP156" s="86"/>
      <c r="FQ156" s="86"/>
      <c r="FR156" s="86"/>
      <c r="FS156" s="86"/>
      <c r="FT156" s="86"/>
      <c r="FU156" s="86"/>
      <c r="FV156" s="86"/>
      <c r="FW156" s="86"/>
      <c r="FX156" s="86"/>
      <c r="FY156" s="86"/>
      <c r="FZ156" s="86"/>
      <c r="GA156" s="86"/>
      <c r="GB156" s="86"/>
      <c r="GC156" s="86"/>
      <c r="GD156" s="86"/>
      <c r="GE156" s="86"/>
      <c r="GF156" s="86"/>
      <c r="GG156" s="86"/>
      <c r="GH156" s="86"/>
      <c r="GI156" s="86"/>
      <c r="GJ156" s="86"/>
      <c r="GK156" s="86"/>
      <c r="GL156" s="86"/>
      <c r="GM156" s="86"/>
      <c r="GN156" s="86"/>
      <c r="GO156" s="86"/>
      <c r="GP156" s="86"/>
      <c r="GQ156" s="86"/>
      <c r="GR156" s="86"/>
      <c r="GS156" s="86"/>
      <c r="GT156" s="86"/>
      <c r="GU156" s="86"/>
      <c r="GV156" s="86"/>
      <c r="GW156" s="86"/>
      <c r="GX156" s="86"/>
      <c r="GY156" s="86"/>
      <c r="GZ156" s="86"/>
      <c r="HA156" s="86"/>
      <c r="HB156" s="86"/>
      <c r="HC156" s="86"/>
      <c r="HD156" s="86"/>
      <c r="HE156" s="86"/>
      <c r="HF156" s="86"/>
      <c r="HG156" s="86"/>
      <c r="HH156" s="86"/>
      <c r="HI156" s="86"/>
      <c r="HJ156" s="86"/>
      <c r="HK156" s="86"/>
      <c r="HL156" s="86"/>
      <c r="HM156" s="86"/>
      <c r="HN156" s="86"/>
      <c r="HO156" s="86"/>
      <c r="HP156" s="86"/>
      <c r="HQ156" s="86"/>
      <c r="HR156" s="86"/>
      <c r="HS156" s="86"/>
      <c r="HT156" s="86"/>
      <c r="HU156" s="86"/>
      <c r="HV156" s="86"/>
      <c r="HW156" s="86"/>
      <c r="HX156" s="86"/>
      <c r="HY156" s="86"/>
      <c r="HZ156" s="86"/>
      <c r="IA156" s="86"/>
      <c r="IB156" s="86"/>
    </row>
    <row r="157" spans="1:236" s="87" customFormat="1">
      <c r="A157" s="131"/>
      <c r="B157" s="61"/>
      <c r="C157" s="59"/>
      <c r="D157" s="59"/>
      <c r="E157" s="9"/>
      <c r="F157" s="233"/>
      <c r="G157" s="216"/>
      <c r="H157" s="132"/>
      <c r="I157" s="132"/>
      <c r="J157" s="132"/>
      <c r="K157" s="132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  <c r="FK157" s="86"/>
      <c r="FL157" s="86"/>
      <c r="FM157" s="86"/>
      <c r="FN157" s="86"/>
      <c r="FO157" s="86"/>
      <c r="FP157" s="86"/>
      <c r="FQ157" s="86"/>
      <c r="FR157" s="86"/>
      <c r="FS157" s="86"/>
      <c r="FT157" s="86"/>
      <c r="FU157" s="86"/>
      <c r="FV157" s="86"/>
      <c r="FW157" s="86"/>
      <c r="FX157" s="86"/>
      <c r="FY157" s="86"/>
      <c r="FZ157" s="86"/>
      <c r="GA157" s="86"/>
      <c r="GB157" s="86"/>
      <c r="GC157" s="86"/>
      <c r="GD157" s="86"/>
      <c r="GE157" s="86"/>
      <c r="GF157" s="86"/>
      <c r="GG157" s="86"/>
      <c r="GH157" s="86"/>
      <c r="GI157" s="86"/>
      <c r="GJ157" s="86"/>
      <c r="GK157" s="86"/>
      <c r="GL157" s="86"/>
      <c r="GM157" s="86"/>
      <c r="GN157" s="86"/>
      <c r="GO157" s="86"/>
      <c r="GP157" s="86"/>
      <c r="GQ157" s="86"/>
      <c r="GR157" s="86"/>
      <c r="GS157" s="86"/>
      <c r="GT157" s="86"/>
      <c r="GU157" s="86"/>
      <c r="GV157" s="86"/>
      <c r="GW157" s="86"/>
      <c r="GX157" s="86"/>
      <c r="GY157" s="86"/>
      <c r="GZ157" s="86"/>
      <c r="HA157" s="86"/>
      <c r="HB157" s="86"/>
      <c r="HC157" s="86"/>
      <c r="HD157" s="86"/>
      <c r="HE157" s="86"/>
      <c r="HF157" s="86"/>
      <c r="HG157" s="86"/>
      <c r="HH157" s="86"/>
      <c r="HI157" s="86"/>
      <c r="HJ157" s="86"/>
      <c r="HK157" s="86"/>
      <c r="HL157" s="86"/>
      <c r="HM157" s="86"/>
      <c r="HN157" s="86"/>
      <c r="HO157" s="86"/>
      <c r="HP157" s="86"/>
      <c r="HQ157" s="86"/>
      <c r="HR157" s="86"/>
      <c r="HS157" s="86"/>
      <c r="HT157" s="86"/>
      <c r="HU157" s="86"/>
      <c r="HV157" s="86"/>
      <c r="HW157" s="86"/>
      <c r="HX157" s="86"/>
      <c r="HY157" s="86"/>
      <c r="HZ157" s="86"/>
      <c r="IA157" s="86"/>
      <c r="IB157" s="86"/>
    </row>
    <row r="158" spans="1:236" s="87" customFormat="1">
      <c r="A158" s="131"/>
      <c r="B158" s="61"/>
      <c r="C158" s="59"/>
      <c r="D158" s="59"/>
      <c r="E158" s="9"/>
      <c r="F158" s="233"/>
      <c r="G158" s="216"/>
      <c r="H158" s="132"/>
      <c r="I158" s="132"/>
      <c r="J158" s="132"/>
      <c r="K158" s="132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  <c r="FK158" s="86"/>
      <c r="FL158" s="86"/>
      <c r="FM158" s="86"/>
      <c r="FN158" s="86"/>
      <c r="FO158" s="86"/>
      <c r="FP158" s="86"/>
      <c r="FQ158" s="86"/>
      <c r="FR158" s="86"/>
      <c r="FS158" s="86"/>
      <c r="FT158" s="86"/>
      <c r="FU158" s="86"/>
      <c r="FV158" s="86"/>
      <c r="FW158" s="86"/>
      <c r="FX158" s="86"/>
      <c r="FY158" s="86"/>
      <c r="FZ158" s="86"/>
      <c r="GA158" s="86"/>
      <c r="GB158" s="86"/>
      <c r="GC158" s="86"/>
      <c r="GD158" s="86"/>
      <c r="GE158" s="86"/>
      <c r="GF158" s="86"/>
      <c r="GG158" s="86"/>
      <c r="GH158" s="86"/>
      <c r="GI158" s="86"/>
      <c r="GJ158" s="86"/>
      <c r="GK158" s="86"/>
      <c r="GL158" s="86"/>
      <c r="GM158" s="86"/>
      <c r="GN158" s="86"/>
      <c r="GO158" s="86"/>
      <c r="GP158" s="86"/>
      <c r="GQ158" s="86"/>
      <c r="GR158" s="86"/>
      <c r="GS158" s="86"/>
      <c r="GT158" s="86"/>
      <c r="GU158" s="86"/>
      <c r="GV158" s="86"/>
      <c r="GW158" s="86"/>
      <c r="GX158" s="86"/>
      <c r="GY158" s="86"/>
      <c r="GZ158" s="86"/>
      <c r="HA158" s="86"/>
      <c r="HB158" s="86"/>
      <c r="HC158" s="86"/>
      <c r="HD158" s="86"/>
      <c r="HE158" s="86"/>
      <c r="HF158" s="86"/>
      <c r="HG158" s="86"/>
      <c r="HH158" s="86"/>
      <c r="HI158" s="86"/>
      <c r="HJ158" s="86"/>
      <c r="HK158" s="86"/>
      <c r="HL158" s="86"/>
      <c r="HM158" s="86"/>
      <c r="HN158" s="86"/>
      <c r="HO158" s="86"/>
      <c r="HP158" s="86"/>
      <c r="HQ158" s="86"/>
      <c r="HR158" s="86"/>
      <c r="HS158" s="86"/>
      <c r="HT158" s="86"/>
      <c r="HU158" s="86"/>
      <c r="HV158" s="86"/>
      <c r="HW158" s="86"/>
      <c r="HX158" s="86"/>
      <c r="HY158" s="86"/>
      <c r="HZ158" s="86"/>
      <c r="IA158" s="86"/>
      <c r="IB158" s="86"/>
    </row>
  </sheetData>
  <mergeCells count="5">
    <mergeCell ref="B2:G2"/>
    <mergeCell ref="C3:C4"/>
    <mergeCell ref="D3:D4"/>
    <mergeCell ref="F3:G3"/>
    <mergeCell ref="B1:G1"/>
  </mergeCells>
  <phoneticPr fontId="0" type="noConversion"/>
  <pageMargins left="0.75" right="0.75" top="1" bottom="1" header="0.5" footer="0.5"/>
  <pageSetup paperSize="9" orientation="portrait" verticalDpi="15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ТСУ (иномарки)</vt:lpstr>
      <vt:lpstr>ТСУ (иномарки) для заказа</vt:lpstr>
      <vt:lpstr>ТСУ (Россия)</vt:lpstr>
      <vt:lpstr>ТСУ (Россия) для заказа</vt:lpstr>
      <vt:lpstr>Лист1</vt:lpstr>
      <vt:lpstr>ТСУ и аксессуары (Импорт)</vt:lpstr>
      <vt:lpstr>Багажники</vt:lpstr>
      <vt:lpstr>'ТСУ (иномарки)'!Область_печати</vt:lpstr>
      <vt:lpstr>'ТСУ (Россия)'!Область_печати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Price_VFM_Novoors</dc:title>
  <dc:creator>Алексей</dc:creator>
  <cp:lastModifiedBy>seo</cp:lastModifiedBy>
  <cp:lastPrinted>2016-07-14T08:37:18Z</cp:lastPrinted>
  <dcterms:created xsi:type="dcterms:W3CDTF">1996-10-08T23:32:33Z</dcterms:created>
  <dcterms:modified xsi:type="dcterms:W3CDTF">2016-09-15T04:20:19Z</dcterms:modified>
</cp:coreProperties>
</file>